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/>
  <mc:AlternateContent xmlns:mc="http://schemas.openxmlformats.org/markup-compatibility/2006">
    <mc:Choice Requires="x15">
      <x15ac:absPath xmlns:x15ac="http://schemas.microsoft.com/office/spreadsheetml/2010/11/ac" url="/Users/eminyucel/Documents/Projeler/cekirdekarge/Corezzle Electronics/Yatırım Teklifleri/Yüksek Teknoloji Fonu/Corezzle Electronics A.Ş. Formlar/"/>
    </mc:Choice>
  </mc:AlternateContent>
  <xr:revisionPtr revIDLastSave="0" documentId="13_ncr:1_{5CA40680-AA22-6D43-B5DC-46676DE87B27}" xr6:coauthVersionLast="47" xr6:coauthVersionMax="47" xr10:uidLastSave="{00000000-0000-0000-0000-000000000000}"/>
  <bookViews>
    <workbookView xWindow="0" yWindow="660" windowWidth="34560" windowHeight="19740" activeTab="2" xr2:uid="{00000000-000D-0000-FFFF-FFFF00000000}"/>
  </bookViews>
  <sheets>
    <sheet name="Bilgi" sheetId="1" r:id="rId1"/>
    <sheet name="Varsayımlar" sheetId="2" r:id="rId2"/>
    <sheet name="Finansal Model" sheetId="3" r:id="rId3"/>
    <sheet name="DCF" sheetId="4" state="hidden" r:id="rId4"/>
  </sheets>
  <definedNames>
    <definedName name="_xlnm.Print_Area" localSheetId="0">Bilgi!$C$3:$F$47</definedName>
    <definedName name="_xlnm.Print_Area" localSheetId="1">Varsayımlar!$C$3:$M$31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3" i="2" l="1"/>
  <c r="E13" i="4"/>
  <c r="E8" i="4"/>
  <c r="E15" i="4" s="1"/>
  <c r="E16" i="4" s="1"/>
  <c r="E17" i="4" s="1"/>
  <c r="L4" i="4"/>
  <c r="L5" i="4" s="1"/>
  <c r="L6" i="4" s="1"/>
  <c r="L7" i="4" s="1"/>
  <c r="L8" i="4" s="1"/>
  <c r="J3" i="4"/>
  <c r="M3" i="4" s="1"/>
  <c r="L23" i="2"/>
  <c r="I23" i="2"/>
  <c r="E23" i="2"/>
  <c r="I13" i="2"/>
  <c r="C80" i="3"/>
  <c r="S69" i="3"/>
  <c r="R69" i="3"/>
  <c r="Q69" i="3"/>
  <c r="P69" i="3"/>
  <c r="N69" i="3"/>
  <c r="M69" i="3"/>
  <c r="L69" i="3"/>
  <c r="K69" i="3"/>
  <c r="J69" i="3"/>
  <c r="I69" i="3"/>
  <c r="H69" i="3"/>
  <c r="G69" i="3"/>
  <c r="F69" i="3"/>
  <c r="E69" i="3"/>
  <c r="D69" i="3"/>
  <c r="C69" i="3"/>
  <c r="S58" i="3"/>
  <c r="R58" i="3"/>
  <c r="Q58" i="3"/>
  <c r="P58" i="3"/>
  <c r="N58" i="3"/>
  <c r="M58" i="3"/>
  <c r="L58" i="3"/>
  <c r="K58" i="3"/>
  <c r="J58" i="3"/>
  <c r="I58" i="3"/>
  <c r="H58" i="3"/>
  <c r="G58" i="3"/>
  <c r="F58" i="3"/>
  <c r="E58" i="3"/>
  <c r="D58" i="3"/>
  <c r="C58" i="3"/>
  <c r="S56" i="3"/>
  <c r="R56" i="3"/>
  <c r="Q56" i="3"/>
  <c r="S36" i="3"/>
  <c r="R36" i="3"/>
  <c r="Q36" i="3"/>
  <c r="P36" i="3"/>
  <c r="N36" i="3"/>
  <c r="M36" i="3"/>
  <c r="L36" i="3"/>
  <c r="K36" i="3"/>
  <c r="J36" i="3"/>
  <c r="I36" i="3"/>
  <c r="H36" i="3"/>
  <c r="G36" i="3"/>
  <c r="F36" i="3"/>
  <c r="E36" i="3"/>
  <c r="D36" i="3"/>
  <c r="C36" i="3"/>
  <c r="S22" i="3"/>
  <c r="R22" i="3"/>
  <c r="Q22" i="3"/>
  <c r="P22" i="3"/>
  <c r="N22" i="3"/>
  <c r="M22" i="3"/>
  <c r="L22" i="3"/>
  <c r="K22" i="3"/>
  <c r="J22" i="3"/>
  <c r="I22" i="3"/>
  <c r="H22" i="3"/>
  <c r="G22" i="3"/>
  <c r="F22" i="3"/>
  <c r="E22" i="3"/>
  <c r="D22" i="3"/>
  <c r="C22" i="3"/>
  <c r="A20" i="3"/>
  <c r="A19" i="3"/>
  <c r="C10" i="3"/>
  <c r="A9" i="3"/>
  <c r="C5" i="3"/>
  <c r="A4" i="3"/>
  <c r="P56" i="3" l="1"/>
  <c r="L56" i="3"/>
  <c r="J56" i="3"/>
  <c r="I56" i="3"/>
  <c r="H56" i="3"/>
  <c r="G56" i="3"/>
  <c r="F56" i="3"/>
  <c r="E56" i="3"/>
  <c r="D56" i="3"/>
  <c r="C56" i="3"/>
  <c r="M56" i="3"/>
  <c r="N56" i="3"/>
  <c r="K56" i="3"/>
  <c r="P55" i="3"/>
  <c r="P54" i="3" s="1"/>
  <c r="N55" i="3"/>
  <c r="N54" i="3" s="1"/>
  <c r="Q55" i="3"/>
  <c r="Q54" i="3" s="1"/>
  <c r="L55" i="3"/>
  <c r="L54" i="3" s="1"/>
  <c r="K55" i="3"/>
  <c r="K54" i="3" s="1"/>
  <c r="J55" i="3"/>
  <c r="J54" i="3" s="1"/>
  <c r="I55" i="3"/>
  <c r="I54" i="3" s="1"/>
  <c r="H55" i="3"/>
  <c r="H54" i="3" s="1"/>
  <c r="G55" i="3"/>
  <c r="G54" i="3" s="1"/>
  <c r="F55" i="3"/>
  <c r="F54" i="3" s="1"/>
  <c r="E55" i="3"/>
  <c r="E54" i="3" s="1"/>
  <c r="D55" i="3"/>
  <c r="D54" i="3" s="1"/>
  <c r="C55" i="3"/>
  <c r="C54" i="3" s="1"/>
  <c r="R55" i="3"/>
  <c r="R54" i="3" s="1"/>
  <c r="S55" i="3"/>
  <c r="S54" i="3" s="1"/>
  <c r="M55" i="3"/>
  <c r="M54" i="3" s="1"/>
  <c r="K20" i="3"/>
  <c r="N20" i="3"/>
  <c r="P20" i="3"/>
  <c r="L20" i="3"/>
  <c r="Q20" i="3"/>
  <c r="J20" i="3"/>
  <c r="I20" i="3"/>
  <c r="H20" i="3"/>
  <c r="G20" i="3"/>
  <c r="F20" i="3"/>
  <c r="E20" i="3"/>
  <c r="D20" i="3"/>
  <c r="C20" i="3"/>
  <c r="S20" i="3"/>
  <c r="R20" i="3"/>
  <c r="M20" i="3"/>
  <c r="P19" i="3"/>
  <c r="N19" i="3"/>
  <c r="M19" i="3"/>
  <c r="M18" i="3" s="1"/>
  <c r="Q19" i="3"/>
  <c r="K19" i="3"/>
  <c r="J19" i="3"/>
  <c r="I19" i="3"/>
  <c r="H19" i="3"/>
  <c r="G19" i="3"/>
  <c r="F19" i="3"/>
  <c r="E19" i="3"/>
  <c r="D19" i="3"/>
  <c r="C19" i="3"/>
  <c r="R19" i="3"/>
  <c r="S19" i="3"/>
  <c r="S18" i="3" s="1"/>
  <c r="L19" i="3"/>
  <c r="C12" i="3"/>
  <c r="D10" i="3"/>
  <c r="C7" i="3"/>
  <c r="D5" i="3"/>
  <c r="R18" i="3" l="1"/>
  <c r="E10" i="3"/>
  <c r="D12" i="3"/>
  <c r="E5" i="3"/>
  <c r="D7" i="3"/>
  <c r="P18" i="3"/>
  <c r="N18" i="3"/>
  <c r="Q18" i="3"/>
  <c r="K18" i="3"/>
  <c r="J18" i="3"/>
  <c r="I18" i="3"/>
  <c r="H18" i="3"/>
  <c r="G18" i="3"/>
  <c r="F18" i="3"/>
  <c r="E18" i="3"/>
  <c r="D18" i="3"/>
  <c r="C18" i="3"/>
  <c r="L18" i="3"/>
  <c r="C14" i="3"/>
  <c r="E12" i="3" l="1"/>
  <c r="F10" i="3"/>
  <c r="F5" i="3"/>
  <c r="E7" i="3"/>
  <c r="C79" i="3"/>
  <c r="C81" i="3" s="1"/>
  <c r="C64" i="3"/>
  <c r="C16" i="3"/>
  <c r="D14" i="3"/>
  <c r="G10" i="3" l="1"/>
  <c r="F12" i="3"/>
  <c r="F14" i="3" s="1"/>
  <c r="G5" i="3"/>
  <c r="F7" i="3"/>
  <c r="D80" i="3"/>
  <c r="D79" i="3"/>
  <c r="D64" i="3"/>
  <c r="D16" i="3"/>
  <c r="E14" i="3"/>
  <c r="H10" i="3" l="1"/>
  <c r="G12" i="3"/>
  <c r="F64" i="3"/>
  <c r="F16" i="3"/>
  <c r="F79" i="3"/>
  <c r="H5" i="3"/>
  <c r="G7" i="3"/>
  <c r="E79" i="3"/>
  <c r="E64" i="3"/>
  <c r="E16" i="3"/>
  <c r="D81" i="3"/>
  <c r="I10" i="3" l="1"/>
  <c r="H12" i="3"/>
  <c r="I5" i="3"/>
  <c r="H7" i="3"/>
  <c r="E80" i="3"/>
  <c r="E81" i="3" s="1"/>
  <c r="G14" i="3"/>
  <c r="J10" i="3" l="1"/>
  <c r="I12" i="3"/>
  <c r="J5" i="3"/>
  <c r="I7" i="3"/>
  <c r="G79" i="3"/>
  <c r="G16" i="3"/>
  <c r="G64" i="3"/>
  <c r="H14" i="3"/>
  <c r="F80" i="3"/>
  <c r="F81" i="3" s="1"/>
  <c r="G80" i="3" s="1"/>
  <c r="G81" i="3" l="1"/>
  <c r="H80" i="3" s="1"/>
  <c r="K10" i="3"/>
  <c r="J12" i="3"/>
  <c r="K5" i="3"/>
  <c r="J7" i="3"/>
  <c r="H79" i="3"/>
  <c r="H64" i="3"/>
  <c r="H16" i="3"/>
  <c r="I14" i="3"/>
  <c r="H81" i="3" l="1"/>
  <c r="I80" i="3" s="1"/>
  <c r="L10" i="3"/>
  <c r="K12" i="3"/>
  <c r="L5" i="3"/>
  <c r="K7" i="3"/>
  <c r="I79" i="3"/>
  <c r="I64" i="3"/>
  <c r="I16" i="3"/>
  <c r="J14" i="3"/>
  <c r="I81" i="3" l="1"/>
  <c r="J80" i="3" s="1"/>
  <c r="M10" i="3"/>
  <c r="L12" i="3"/>
  <c r="M5" i="3"/>
  <c r="L7" i="3"/>
  <c r="J79" i="3"/>
  <c r="J16" i="3"/>
  <c r="J64" i="3"/>
  <c r="K14" i="3"/>
  <c r="J81" i="3" l="1"/>
  <c r="K80" i="3" s="1"/>
  <c r="N10" i="3"/>
  <c r="M12" i="3"/>
  <c r="N5" i="3"/>
  <c r="M7" i="3"/>
  <c r="K79" i="3"/>
  <c r="K64" i="3"/>
  <c r="K16" i="3"/>
  <c r="L14" i="3"/>
  <c r="K81" i="3" l="1"/>
  <c r="L80" i="3" s="1"/>
  <c r="P10" i="3"/>
  <c r="N12" i="3"/>
  <c r="P5" i="3"/>
  <c r="N7" i="3"/>
  <c r="L64" i="3"/>
  <c r="L79" i="3"/>
  <c r="L16" i="3"/>
  <c r="M14" i="3"/>
  <c r="L81" i="3" l="1"/>
  <c r="M80" i="3" s="1"/>
  <c r="Q10" i="3"/>
  <c r="P12" i="3"/>
  <c r="Q5" i="3"/>
  <c r="P7" i="3"/>
  <c r="M79" i="3"/>
  <c r="M64" i="3"/>
  <c r="M16" i="3"/>
  <c r="N14" i="3"/>
  <c r="M81" i="3" l="1"/>
  <c r="N80" i="3" s="1"/>
  <c r="R10" i="3"/>
  <c r="Q12" i="3"/>
  <c r="Q14" i="3" s="1"/>
  <c r="R5" i="3"/>
  <c r="Q7" i="3"/>
  <c r="N64" i="3"/>
  <c r="N16" i="3"/>
  <c r="I18" i="4" s="1"/>
  <c r="P14" i="3"/>
  <c r="S10" i="3" l="1"/>
  <c r="S12" i="3" s="1"/>
  <c r="R12" i="3"/>
  <c r="Q16" i="3"/>
  <c r="Q64" i="3"/>
  <c r="S5" i="3"/>
  <c r="S7" i="3" s="1"/>
  <c r="R7" i="3"/>
  <c r="N66" i="3"/>
  <c r="N65" i="3"/>
  <c r="N79" i="3" s="1"/>
  <c r="N81" i="3" s="1"/>
  <c r="P64" i="3"/>
  <c r="P16" i="3"/>
  <c r="S14" i="3" l="1"/>
  <c r="Q66" i="3"/>
  <c r="Q65" i="3"/>
  <c r="Q79" i="3" s="1"/>
  <c r="P66" i="3"/>
  <c r="P65" i="3"/>
  <c r="P79" i="3" s="1"/>
  <c r="R14" i="3"/>
  <c r="C83" i="3"/>
  <c r="P80" i="3"/>
  <c r="J4" i="4"/>
  <c r="S64" i="3" l="1"/>
  <c r="S16" i="3"/>
  <c r="R16" i="3"/>
  <c r="R64" i="3"/>
  <c r="M4" i="4"/>
  <c r="K4" i="4"/>
  <c r="P81" i="3"/>
  <c r="S65" i="3" l="1"/>
  <c r="S79" i="3" s="1"/>
  <c r="S66" i="3"/>
  <c r="R65" i="3"/>
  <c r="R79" i="3" s="1"/>
  <c r="R66" i="3"/>
  <c r="Q80" i="3"/>
  <c r="Q81" i="3" s="1"/>
  <c r="J5" i="4"/>
  <c r="R80" i="3" l="1"/>
  <c r="R81" i="3" s="1"/>
  <c r="J6" i="4"/>
  <c r="K5" i="4"/>
  <c r="M5" i="4"/>
  <c r="J7" i="4" l="1"/>
  <c r="S80" i="3"/>
  <c r="S81" i="3" s="1"/>
  <c r="J8" i="4" s="1"/>
  <c r="K6" i="4"/>
  <c r="M6" i="4"/>
  <c r="J10" i="4" l="1"/>
  <c r="K7" i="4"/>
  <c r="K8" i="4" s="1"/>
  <c r="K10" i="4" s="1"/>
  <c r="M7" i="4"/>
  <c r="M8" i="4"/>
  <c r="E20" i="4" s="1"/>
  <c r="E21" i="4" s="1"/>
  <c r="I12" i="4" l="1"/>
  <c r="M10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Ümit Yıldırım</author>
  </authors>
  <commentList>
    <comment ref="I6" authorId="0" shapeId="0" xr:uid="{00000000-0006-0000-0100-000001000000}">
      <text>
        <r>
          <rPr>
            <sz val="11"/>
            <color rgb="FF000000"/>
            <rFont val="Calibri"/>
            <family val="2"/>
          </rPr>
          <t xml:space="preserve">Şirketin kasasında ve banka hesaplarında başvuru tarihi itibairyle var olan nakit tutarı girilmelidir.
</t>
        </r>
      </text>
    </comment>
    <comment ref="I10" authorId="0" shapeId="0" xr:uid="{00000000-0006-0000-0100-000002000000}">
      <text>
        <r>
          <rPr>
            <sz val="11"/>
            <color rgb="FF000000"/>
            <rFont val="Calibri"/>
            <family val="2"/>
          </rPr>
          <t>Ürün satış fiyatı KDV Hariç olarak girilmelidir.</t>
        </r>
      </text>
    </comment>
    <comment ref="E11" authorId="0" shapeId="0" xr:uid="{00000000-0006-0000-0100-000003000000}">
      <text>
        <r>
          <rPr>
            <sz val="11"/>
            <color theme="1"/>
            <rFont val="Calibri"/>
            <family val="2"/>
            <scheme val="minor"/>
          </rPr>
          <t xml:space="preserve">
Finansal projeksiyonda kullanılan para birimini belirtiniz. Dolar, Euro, TL</t>
        </r>
      </text>
    </comment>
    <comment ref="I13" authorId="0" shapeId="0" xr:uid="{00000000-0006-0000-0100-000004000000}">
      <text>
        <r>
          <rPr>
            <sz val="11"/>
            <color rgb="FF000000"/>
            <rFont val="Calibri"/>
            <family val="2"/>
          </rPr>
          <t xml:space="preserve">Ürün maliyeti alt detayları KDV hariç olarak girilmelidir.
</t>
        </r>
        <r>
          <rPr>
            <sz val="11"/>
            <color rgb="FF000000"/>
            <rFont val="Calibri"/>
            <family val="2"/>
          </rPr>
          <t xml:space="preserve">
</t>
        </r>
        <r>
          <rPr>
            <sz val="11"/>
            <color rgb="FF000000"/>
            <rFont val="Calibri"/>
            <family val="2"/>
          </rPr>
          <t>Tablolarda yer alan ifadeler örnektir.</t>
        </r>
      </text>
    </comment>
    <comment ref="E15" authorId="0" shapeId="0" xr:uid="{00000000-0006-0000-0100-000005000000}">
      <text>
        <r>
          <rPr>
            <sz val="11"/>
            <color theme="1"/>
            <rFont val="Calibri"/>
            <family val="2"/>
            <scheme val="minor"/>
          </rPr>
          <t>Başvuru yapılan projeye ilişkin mevcut/gerçekleşen Ar-Ge harcamaları tutarı bu kısıma girilmelidir.</t>
        </r>
      </text>
    </comment>
    <comment ref="I23" authorId="0" shapeId="0" xr:uid="{00000000-0006-0000-0100-000006000000}">
      <text>
        <r>
          <rPr>
            <sz val="11"/>
            <color theme="1"/>
            <rFont val="Calibri"/>
            <family val="2"/>
            <scheme val="minor"/>
          </rPr>
          <t>Satış gerçekleştikçe ortaya çıkan giderler, alt detayları KDV Hariç girilmelidir.</t>
        </r>
      </text>
    </comment>
  </commentList>
</comments>
</file>

<file path=xl/sharedStrings.xml><?xml version="1.0" encoding="utf-8"?>
<sst xmlns="http://schemas.openxmlformats.org/spreadsheetml/2006/main" count="158" uniqueCount="120">
  <si>
    <t>Dönemler</t>
  </si>
  <si>
    <t>1. Ay</t>
  </si>
  <si>
    <t>2. Ay</t>
  </si>
  <si>
    <t>3. Ay</t>
  </si>
  <si>
    <t>4. Ay</t>
  </si>
  <si>
    <t>5. Ay</t>
  </si>
  <si>
    <t>6. Ay</t>
  </si>
  <si>
    <t>7. Ay</t>
  </si>
  <si>
    <t>8. Ay</t>
  </si>
  <si>
    <t>9. Ay</t>
  </si>
  <si>
    <t>10. Ay</t>
  </si>
  <si>
    <t>11. Ay</t>
  </si>
  <si>
    <t>12. Ay</t>
  </si>
  <si>
    <t>2. YIL</t>
  </si>
  <si>
    <t>3. YIL</t>
  </si>
  <si>
    <t>4. YIL</t>
  </si>
  <si>
    <t>5. YIL</t>
  </si>
  <si>
    <t>Satış Gelirleri</t>
  </si>
  <si>
    <t>Satış Fiyatı</t>
  </si>
  <si>
    <t>Satış Adedi</t>
  </si>
  <si>
    <t>Gelir Toplamı</t>
  </si>
  <si>
    <t>Toplam Satış Gelirleri</t>
  </si>
  <si>
    <t>Brüt Kar Oranı</t>
  </si>
  <si>
    <t>SMM / Hizmet Maliyeti</t>
  </si>
  <si>
    <t>Personel Giderleri</t>
  </si>
  <si>
    <t>Emin Yücel (CEO)</t>
  </si>
  <si>
    <t>Faddale Demir (CTO) — Tem'den tam zamanlı (120K)</t>
  </si>
  <si>
    <t>Halil Demir (Yazılım Geliştirici)</t>
  </si>
  <si>
    <t>Hilal Yücel (Yazılım Geliştirici)</t>
  </si>
  <si>
    <t>Fatmanur Çakır (Donanım Tasarımcısı)</t>
  </si>
  <si>
    <t>…..</t>
  </si>
  <si>
    <t>Furkan Dikmen (Paketleme Süreç Müh.) — 2026-07</t>
  </si>
  <si>
    <t>Abdurrahman Joulha (Pazarlama-Avrupa) — 2027</t>
  </si>
  <si>
    <t>Sabit Giderler</t>
  </si>
  <si>
    <t>Kira (Teknopark İstanbul)</t>
  </si>
  <si>
    <t>Elektrik (Teknopark dahil)</t>
  </si>
  <si>
    <t>SMMM (Mizan)</t>
  </si>
  <si>
    <t>Avukat / Danışman (Exper)</t>
  </si>
  <si>
    <t>Sigorta</t>
  </si>
  <si>
    <t>Yemek</t>
  </si>
  <si>
    <t>Yazılım (Claude + araçlar) + KDV</t>
  </si>
  <si>
    <t>Gelir Vergisi (Gider Pusulası)</t>
  </si>
  <si>
    <t>Ön Muhasebe</t>
  </si>
  <si>
    <t>…</t>
  </si>
  <si>
    <t>Aidat</t>
  </si>
  <si>
    <t>Güvenlik Hizmetleri</t>
  </si>
  <si>
    <t>Sunucu (Cloud) + KDV</t>
  </si>
  <si>
    <t>Toplam Değişken Giderler</t>
  </si>
  <si>
    <t>Değişken Giderler 1</t>
  </si>
  <si>
    <t>Değişken Giderler 2</t>
  </si>
  <si>
    <t>Pazarlama Gideri</t>
  </si>
  <si>
    <t>Reklam (LinkedIn + içerik)</t>
  </si>
  <si>
    <t>….</t>
  </si>
  <si>
    <t>Fuar (Electronica 2026 Ekim)</t>
  </si>
  <si>
    <t>Vergi Öncesi Kar / (Zarar)</t>
  </si>
  <si>
    <t>Kurumlar Vergisi (%25)</t>
  </si>
  <si>
    <t>-</t>
  </si>
  <si>
    <t>Vergi Sonrası Kar / (Zarar)</t>
  </si>
  <si>
    <t>Yatırım Harcamaları</t>
  </si>
  <si>
    <t>Normal Makine (Wegstr vb. üretim)</t>
  </si>
  <si>
    <t>PC/Laptop</t>
  </si>
  <si>
    <t>İlk Seri Stok (4 ürün × 2000 adet)</t>
  </si>
  <si>
    <t>Wire Bonder Ana Makinesi</t>
  </si>
  <si>
    <t>Ofis mobilya</t>
  </si>
  <si>
    <t>Net Nakit Akışı (Burn)</t>
  </si>
  <si>
    <t>Dönem Başı Nakit</t>
  </si>
  <si>
    <t>Dönem Sonu Nakit</t>
  </si>
  <si>
    <t>Finansman İhtiyacı :</t>
  </si>
  <si>
    <t>Satırların yeterl olmaması durumunda, formülleri bozmamak için, ara satırları kullanarak satır eklenmelidir.</t>
  </si>
  <si>
    <t>Yasal Bilgiler</t>
  </si>
  <si>
    <t>Varsayımlar</t>
  </si>
  <si>
    <t>Şirket Unvanı :</t>
  </si>
  <si>
    <t>Corezzle Elektronik A.Ş.</t>
  </si>
  <si>
    <t>Mevcut Nakit</t>
  </si>
  <si>
    <t>Kuruluş Yılı :</t>
  </si>
  <si>
    <t>Sermaye Tutarı :</t>
  </si>
  <si>
    <t>Ödenmemiş Sermaye Tutarı :</t>
  </si>
  <si>
    <t>ÜRÜN 1</t>
  </si>
  <si>
    <t>NAR-3358 + NAR-32MP2x (her ikisi $60)</t>
  </si>
  <si>
    <t>ÜRÜN 2</t>
  </si>
  <si>
    <t>NAR-ESP32 + NAR-9151 bundle ($15 + $45 = $60)</t>
  </si>
  <si>
    <t>Satış Fiyatı :</t>
  </si>
  <si>
    <t>Ürün (2) Satış Fiyatı :</t>
  </si>
  <si>
    <t>Projeksiyon Para Birimi :</t>
  </si>
  <si>
    <t>USD</t>
  </si>
  <si>
    <t>Mevcut Satış Tutarı :</t>
  </si>
  <si>
    <t>Ürün Maliyeti :</t>
  </si>
  <si>
    <t>Ar-Ge Harcamaları Tutarı :</t>
  </si>
  <si>
    <t xml:space="preserve">Ortaklık Yapısı </t>
  </si>
  <si>
    <t>Pay Adedi</t>
  </si>
  <si>
    <t>Toplam</t>
  </si>
  <si>
    <t>Değişken Giderler (Birim Başına) :</t>
  </si>
  <si>
    <t>Nakit Akım</t>
  </si>
  <si>
    <t>Kümülatif Nakit Akım</t>
  </si>
  <si>
    <t>İndirgeme Oranı</t>
  </si>
  <si>
    <t>İndirgenmiş Nakit Akım</t>
  </si>
  <si>
    <t>Nakit Akım :</t>
  </si>
  <si>
    <t>1. Yıl</t>
  </si>
  <si>
    <t>İndirgeme Oranı - Wacc</t>
  </si>
  <si>
    <t>2. Yıl</t>
  </si>
  <si>
    <t>Yatırım Tutarı</t>
  </si>
  <si>
    <t>3. Yıl</t>
  </si>
  <si>
    <t>Elde Edilecek Hisse Oranı</t>
  </si>
  <si>
    <t>4. Yıl</t>
  </si>
  <si>
    <t>Yatırım Sonrası Değerleme</t>
  </si>
  <si>
    <t>5. Yıl</t>
  </si>
  <si>
    <t>Çıkış Yılı</t>
  </si>
  <si>
    <t>Gelecekteki Yatırım Turu Sayısı</t>
  </si>
  <si>
    <t>Tur Başına Ortalama Seyrelme Beklentisi</t>
  </si>
  <si>
    <t>Proje İç Verim Oranı :</t>
  </si>
  <si>
    <t>Seyrelme Sonrası Muhtemel Hissemiz</t>
  </si>
  <si>
    <t>Gelir Getirme Başlangıç :</t>
  </si>
  <si>
    <t xml:space="preserve">Girişimden Çıkış Tutarı </t>
  </si>
  <si>
    <t>Çıkış Şirket Değeri</t>
  </si>
  <si>
    <t>Runway :</t>
  </si>
  <si>
    <t>Çarpan Beklentimiz</t>
  </si>
  <si>
    <t>Brüt Karlılık Oranı :</t>
  </si>
  <si>
    <t>Sonsuza Giden Büyüme Oranı</t>
  </si>
  <si>
    <t>Sonsuza Giden Değer</t>
  </si>
  <si>
    <t>Sonsuza Giden İndirgenmiş Değer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</si>
</sst>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_-* #,##0_-;\-* #,##0_-;_-* &quot;-&quot;??_-;_-@_-"/>
    <numFmt numFmtId="165" formatCode="#,##0;\(#,##0\)"/>
    <numFmt numFmtId="166" formatCode="_-[$₺-41F]* #,##0.00_-;\-[$₺-41F]* #,##0.00_-;_-[$₺-41F]* &quot;-&quot;??_-;_-@_-"/>
    <numFmt numFmtId="167" formatCode="#,##0&quot; ₺&quot;"/>
    <numFmt numFmtId="168" formatCode="&quot;$&quot;#,##0"/>
    <numFmt numFmtId="169" formatCode="0.0%"/>
    <numFmt numFmtId="170" formatCode="0.0&quot;x&quot;"/>
  </numFmts>
  <fonts count="12" x14ac:knownFonts="1">
    <font>
      <sz val="11"/>
      <color theme="1"/>
      <name val="Calibri"/>
      <family val="2"/>
      <scheme val="minor"/>
    </font>
    <font>
      <b/>
      <sz val="11"/>
      <name val="Calibri"/>
      <family val="2"/>
      <charset val="16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b/>
      <sz val="11"/>
      <name val="Calibri"/>
      <family val="2"/>
      <charset val="162"/>
    </font>
    <font>
      <b/>
      <sz val="14"/>
      <name val="Calibri"/>
      <family val="2"/>
      <charset val="162"/>
    </font>
    <font>
      <b/>
      <sz val="13"/>
      <name val="Calibri"/>
      <family val="2"/>
      <charset val="162"/>
    </font>
    <font>
      <sz val="14"/>
      <color theme="1"/>
      <name val="Calibri"/>
      <family val="2"/>
      <charset val="162"/>
      <scheme val="minor"/>
    </font>
    <font>
      <sz val="10"/>
      <name val="Yu Gothic UI"/>
      <family val="2"/>
    </font>
    <font>
      <b/>
      <sz val="10"/>
      <name val="Yu Gothic UI"/>
      <family val="2"/>
    </font>
    <font>
      <sz val="10"/>
      <color rgb="FF0070C0"/>
      <name val="Yu Gothic UI"/>
      <family val="2"/>
    </font>
    <font>
      <sz val="11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B3F1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theme="0" tint="-0.14993743705557422"/>
      </left>
      <right style="hair">
        <color theme="0" tint="-0.14993743705557422"/>
      </right>
      <top style="hair">
        <color theme="0" tint="-0.14993743705557422"/>
      </top>
      <bottom style="hair">
        <color theme="0" tint="-0.14993743705557422"/>
      </bottom>
      <diagonal/>
    </border>
    <border>
      <left style="hair">
        <color rgb="FF00AAD2"/>
      </left>
      <right style="hair">
        <color rgb="FF00AAD2"/>
      </right>
      <top style="hair">
        <color rgb="FF00AAD2"/>
      </top>
      <bottom style="hair">
        <color rgb="FF00AAD2"/>
      </bottom>
      <diagonal/>
    </border>
  </borders>
  <cellStyleXfs count="3">
    <xf numFmtId="0" fontId="0" fillId="0" borderId="0"/>
    <xf numFmtId="43" fontId="2" fillId="0" borderId="0"/>
    <xf numFmtId="9" fontId="2" fillId="0" borderId="0"/>
  </cellStyleXfs>
  <cellXfs count="71">
    <xf numFmtId="0" fontId="0" fillId="0" borderId="0" xfId="0"/>
    <xf numFmtId="164" fontId="0" fillId="0" borderId="0" xfId="1" applyNumberFormat="1" applyFont="1"/>
    <xf numFmtId="0" fontId="3" fillId="0" borderId="0" xfId="0" applyFont="1"/>
    <xf numFmtId="43" fontId="0" fillId="0" borderId="0" xfId="1" applyFont="1" applyProtection="1">
      <protection locked="0"/>
    </xf>
    <xf numFmtId="0" fontId="1" fillId="0" borderId="0" xfId="0" applyFont="1" applyProtection="1">
      <protection locked="0"/>
    </xf>
    <xf numFmtId="0" fontId="0" fillId="0" borderId="0" xfId="0" applyProtection="1">
      <protection locked="0"/>
    </xf>
    <xf numFmtId="0" fontId="3" fillId="0" borderId="0" xfId="0" applyFont="1" applyProtection="1">
      <protection locked="0"/>
    </xf>
    <xf numFmtId="0" fontId="1" fillId="0" borderId="0" xfId="0" applyFont="1" applyAlignment="1" applyProtection="1">
      <alignment horizontal="left" indent="1"/>
      <protection locked="0"/>
    </xf>
    <xf numFmtId="0" fontId="3" fillId="0" borderId="0" xfId="0" applyFont="1" applyAlignment="1" applyProtection="1">
      <alignment horizontal="left" indent="1"/>
      <protection locked="0"/>
    </xf>
    <xf numFmtId="0" fontId="0" fillId="0" borderId="0" xfId="0" applyAlignment="1" applyProtection="1">
      <alignment horizontal="left" indent="1"/>
      <protection locked="0"/>
    </xf>
    <xf numFmtId="0" fontId="4" fillId="0" borderId="0" xfId="0" applyFont="1" applyAlignment="1" applyProtection="1">
      <alignment horizontal="left" indent="1"/>
      <protection locked="0"/>
    </xf>
    <xf numFmtId="164" fontId="0" fillId="0" borderId="1" xfId="1" applyNumberFormat="1" applyFont="1" applyBorder="1" applyProtection="1">
      <protection locked="0"/>
    </xf>
    <xf numFmtId="164" fontId="0" fillId="0" borderId="0" xfId="1" applyNumberFormat="1" applyFont="1" applyProtection="1">
      <protection locked="0"/>
    </xf>
    <xf numFmtId="164" fontId="0" fillId="0" borderId="0" xfId="0" applyNumberFormat="1" applyProtection="1">
      <protection locked="0"/>
    </xf>
    <xf numFmtId="0" fontId="6" fillId="2" borderId="0" xfId="0" applyFont="1" applyFill="1" applyProtection="1">
      <protection locked="0"/>
    </xf>
    <xf numFmtId="165" fontId="0" fillId="0" borderId="0" xfId="0" applyNumberFormat="1" applyProtection="1">
      <protection locked="0"/>
    </xf>
    <xf numFmtId="0" fontId="3" fillId="0" borderId="1" xfId="0" applyFont="1" applyBorder="1"/>
    <xf numFmtId="0" fontId="0" fillId="0" borderId="1" xfId="0" applyBorder="1"/>
    <xf numFmtId="0" fontId="5" fillId="0" borderId="0" xfId="0" applyFont="1" applyAlignment="1" applyProtection="1">
      <alignment horizontal="center"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6" fillId="2" borderId="0" xfId="0" applyFont="1" applyFill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>
      <alignment horizontal="left" indent="1"/>
    </xf>
    <xf numFmtId="0" fontId="3" fillId="0" borderId="3" xfId="0" applyFont="1" applyBorder="1"/>
    <xf numFmtId="0" fontId="3" fillId="0" borderId="2" xfId="0" applyFont="1" applyBorder="1" applyAlignment="1">
      <alignment horizontal="left" indent="1"/>
    </xf>
    <xf numFmtId="0" fontId="3" fillId="0" borderId="2" xfId="0" applyFont="1" applyBorder="1"/>
    <xf numFmtId="0" fontId="3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164" fontId="1" fillId="0" borderId="0" xfId="1" applyNumberFormat="1" applyFont="1" applyAlignment="1">
      <alignment horizontal="center"/>
    </xf>
    <xf numFmtId="43" fontId="1" fillId="0" borderId="0" xfId="1" applyFont="1" applyAlignment="1">
      <alignment horizontal="center"/>
    </xf>
    <xf numFmtId="165" fontId="0" fillId="0" borderId="0" xfId="0" applyNumberFormat="1" applyAlignment="1">
      <alignment horizontal="right"/>
    </xf>
    <xf numFmtId="166" fontId="1" fillId="0" borderId="0" xfId="0" applyNumberFormat="1" applyFont="1" applyAlignment="1">
      <alignment horizontal="center"/>
    </xf>
    <xf numFmtId="43" fontId="0" fillId="0" borderId="0" xfId="1" applyFont="1"/>
    <xf numFmtId="0" fontId="0" fillId="0" borderId="5" xfId="0" applyBorder="1"/>
    <xf numFmtId="0" fontId="3" fillId="0" borderId="6" xfId="0" applyFont="1" applyBorder="1"/>
    <xf numFmtId="0" fontId="3" fillId="4" borderId="1" xfId="0" applyFont="1" applyFill="1" applyBorder="1"/>
    <xf numFmtId="0" fontId="0" fillId="0" borderId="0" xfId="0" applyAlignment="1">
      <alignment wrapText="1"/>
    </xf>
    <xf numFmtId="0" fontId="5" fillId="0" borderId="7" xfId="0" applyFont="1" applyBorder="1" applyAlignment="1" applyProtection="1">
      <alignment horizontal="center" vertical="center"/>
      <protection locked="0"/>
    </xf>
    <xf numFmtId="0" fontId="6" fillId="0" borderId="0" xfId="0" applyFont="1" applyProtection="1">
      <protection locked="0"/>
    </xf>
    <xf numFmtId="0" fontId="8" fillId="0" borderId="0" xfId="0" applyFont="1" applyAlignment="1">
      <alignment horizontal="left" indent="3"/>
    </xf>
    <xf numFmtId="0" fontId="10" fillId="0" borderId="0" xfId="0" applyFont="1"/>
    <xf numFmtId="9" fontId="0" fillId="0" borderId="0" xfId="2" applyFont="1"/>
    <xf numFmtId="164" fontId="0" fillId="0" borderId="0" xfId="0" applyNumberFormat="1"/>
    <xf numFmtId="0" fontId="3" fillId="0" borderId="2" xfId="0" quotePrefix="1" applyFont="1" applyBorder="1" applyAlignment="1">
      <alignment horizontal="center"/>
    </xf>
    <xf numFmtId="168" fontId="0" fillId="0" borderId="1" xfId="1" applyNumberFormat="1" applyFont="1" applyBorder="1"/>
    <xf numFmtId="167" fontId="0" fillId="0" borderId="1" xfId="0" applyNumberFormat="1" applyBorder="1"/>
    <xf numFmtId="168" fontId="0" fillId="0" borderId="1" xfId="0" applyNumberFormat="1" applyBorder="1"/>
    <xf numFmtId="168" fontId="3" fillId="0" borderId="1" xfId="1" applyNumberFormat="1" applyFont="1" applyBorder="1"/>
    <xf numFmtId="168" fontId="3" fillId="4" borderId="1" xfId="1" applyNumberFormat="1" applyFont="1" applyFill="1" applyBorder="1"/>
    <xf numFmtId="3" fontId="0" fillId="0" borderId="0" xfId="1" applyNumberFormat="1" applyFont="1"/>
    <xf numFmtId="168" fontId="1" fillId="3" borderId="1" xfId="1" applyNumberFormat="1" applyFont="1" applyFill="1" applyBorder="1" applyAlignment="1">
      <alignment horizontal="center"/>
    </xf>
    <xf numFmtId="3" fontId="1" fillId="0" borderId="1" xfId="1" applyNumberFormat="1" applyFont="1" applyBorder="1" applyAlignment="1" applyProtection="1">
      <alignment horizontal="center"/>
      <protection locked="0"/>
    </xf>
    <xf numFmtId="168" fontId="1" fillId="3" borderId="0" xfId="1" applyNumberFormat="1" applyFont="1" applyFill="1" applyAlignment="1">
      <alignment horizontal="center"/>
    </xf>
    <xf numFmtId="168" fontId="1" fillId="2" borderId="0" xfId="1" applyNumberFormat="1" applyFont="1" applyFill="1" applyAlignment="1">
      <alignment horizontal="right"/>
    </xf>
    <xf numFmtId="169" fontId="0" fillId="0" borderId="0" xfId="2" applyNumberFormat="1" applyFont="1"/>
    <xf numFmtId="168" fontId="0" fillId="3" borderId="0" xfId="1" applyNumberFormat="1" applyFont="1" applyFill="1"/>
    <xf numFmtId="168" fontId="0" fillId="0" borderId="1" xfId="1" applyNumberFormat="1" applyFont="1" applyBorder="1" applyProtection="1">
      <protection locked="0"/>
    </xf>
    <xf numFmtId="168" fontId="1" fillId="2" borderId="0" xfId="1" quotePrefix="1" applyNumberFormat="1" applyFont="1" applyFill="1" applyAlignment="1">
      <alignment horizontal="right"/>
    </xf>
    <xf numFmtId="168" fontId="1" fillId="2" borderId="0" xfId="1" applyNumberFormat="1" applyFont="1" applyFill="1" applyAlignment="1">
      <alignment horizontal="center"/>
    </xf>
    <xf numFmtId="168" fontId="0" fillId="0" borderId="0" xfId="0" applyNumberFormat="1"/>
    <xf numFmtId="168" fontId="0" fillId="0" borderId="0" xfId="1" applyNumberFormat="1" applyFont="1"/>
    <xf numFmtId="169" fontId="9" fillId="5" borderId="8" xfId="2" applyNumberFormat="1" applyFont="1" applyFill="1" applyBorder="1" applyAlignment="1">
      <alignment horizontal="right" vertical="center"/>
    </xf>
    <xf numFmtId="168" fontId="9" fillId="5" borderId="8" xfId="1" applyNumberFormat="1" applyFont="1" applyFill="1" applyBorder="1" applyAlignment="1">
      <alignment horizontal="right" vertical="center"/>
    </xf>
    <xf numFmtId="3" fontId="9" fillId="5" borderId="8" xfId="1" applyNumberFormat="1" applyFont="1" applyFill="1" applyBorder="1" applyAlignment="1">
      <alignment horizontal="right" vertical="center"/>
    </xf>
    <xf numFmtId="168" fontId="3" fillId="0" borderId="2" xfId="0" applyNumberFormat="1" applyFont="1" applyBorder="1"/>
    <xf numFmtId="169" fontId="0" fillId="0" borderId="0" xfId="0" applyNumberFormat="1"/>
    <xf numFmtId="170" fontId="9" fillId="5" borderId="8" xfId="1" applyNumberFormat="1" applyFont="1" applyFill="1" applyBorder="1" applyAlignment="1">
      <alignment horizontal="right" vertical="center"/>
    </xf>
    <xf numFmtId="169" fontId="9" fillId="5" borderId="9" xfId="0" applyNumberFormat="1" applyFont="1" applyFill="1" applyBorder="1" applyAlignment="1">
      <alignment horizontal="right" vertical="center"/>
    </xf>
  </cellXfs>
  <cellStyles count="3">
    <cellStyle name="Normal" xfId="0" builtinId="0"/>
    <cellStyle name="Virgül" xfId="1" builtinId="3"/>
    <cellStyle name="Yüzde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D38"/>
  <sheetViews>
    <sheetView showGridLines="0" view="pageBreakPreview" topLeftCell="C20" zoomScale="137" zoomScaleNormal="100" workbookViewId="0">
      <selection activeCell="J35" sqref="J35"/>
    </sheetView>
  </sheetViews>
  <sheetFormatPr baseColWidth="10" defaultColWidth="8.83203125" defaultRowHeight="15" x14ac:dyDescent="0.2"/>
  <cols>
    <col min="4" max="4" width="26" customWidth="1"/>
    <col min="5" max="5" width="77.5" customWidth="1"/>
  </cols>
  <sheetData>
    <row r="38" spans="4:4" ht="75" customHeight="1" x14ac:dyDescent="0.2">
      <c r="D38" s="39" t="s">
        <v>68</v>
      </c>
    </row>
  </sheetData>
  <pageMargins left="0.7" right="0.7" top="0.75" bottom="0.75" header="0.3" footer="0.3"/>
  <pageSetup paperSize="9" scale="55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3:L31"/>
  <sheetViews>
    <sheetView showGridLines="0" view="pageBreakPreview" topLeftCell="B2" zoomScale="150" zoomScaleNormal="100" workbookViewId="0">
      <selection activeCell="I13" sqref="I13"/>
    </sheetView>
  </sheetViews>
  <sheetFormatPr baseColWidth="10" defaultColWidth="8.83203125" defaultRowHeight="15" x14ac:dyDescent="0.2"/>
  <cols>
    <col min="4" max="4" width="29.5" customWidth="1"/>
    <col min="5" max="5" width="15" customWidth="1"/>
    <col min="8" max="8" width="30.6640625" bestFit="1" customWidth="1"/>
    <col min="9" max="9" width="10.5" bestFit="1" customWidth="1"/>
    <col min="10" max="10" width="10.5" customWidth="1"/>
    <col min="11" max="11" width="31.5" bestFit="1" customWidth="1"/>
    <col min="12" max="12" width="10.5" bestFit="1" customWidth="1"/>
  </cols>
  <sheetData>
    <row r="3" spans="3:12" ht="15.75" customHeight="1" thickBot="1" x14ac:dyDescent="0.25"/>
    <row r="4" spans="3:12" ht="15.75" customHeight="1" thickBot="1" x14ac:dyDescent="0.25">
      <c r="C4" s="27">
        <v>1</v>
      </c>
      <c r="D4" s="37" t="s">
        <v>69</v>
      </c>
      <c r="G4" s="27">
        <v>2</v>
      </c>
      <c r="H4" s="37" t="s">
        <v>70</v>
      </c>
    </row>
    <row r="6" spans="3:12" x14ac:dyDescent="0.2">
      <c r="D6" s="16" t="s">
        <v>71</v>
      </c>
      <c r="E6" s="17" t="s">
        <v>72</v>
      </c>
      <c r="H6" s="16" t="s">
        <v>73</v>
      </c>
      <c r="I6" s="47">
        <v>125000</v>
      </c>
      <c r="J6" s="1"/>
    </row>
    <row r="7" spans="3:12" ht="15.75" customHeight="1" thickBot="1" x14ac:dyDescent="0.25">
      <c r="D7" s="16" t="s">
        <v>74</v>
      </c>
      <c r="E7" s="17">
        <v>2025</v>
      </c>
      <c r="H7" s="36"/>
      <c r="I7" s="36"/>
      <c r="J7" s="36"/>
      <c r="K7" s="36"/>
      <c r="L7" s="36"/>
    </row>
    <row r="8" spans="3:12" ht="15.75" customHeight="1" thickTop="1" x14ac:dyDescent="0.2">
      <c r="D8" s="16" t="s">
        <v>75</v>
      </c>
      <c r="E8" s="48">
        <v>260000</v>
      </c>
    </row>
    <row r="9" spans="3:12" x14ac:dyDescent="0.2">
      <c r="D9" s="16" t="s">
        <v>76</v>
      </c>
      <c r="E9" s="49">
        <v>0</v>
      </c>
      <c r="H9" s="2" t="s">
        <v>77</v>
      </c>
      <c r="I9" t="s">
        <v>78</v>
      </c>
      <c r="K9" s="2" t="s">
        <v>79</v>
      </c>
      <c r="L9" t="s">
        <v>80</v>
      </c>
    </row>
    <row r="10" spans="3:12" x14ac:dyDescent="0.2">
      <c r="D10" s="2"/>
      <c r="H10" s="16" t="s">
        <v>81</v>
      </c>
      <c r="I10" s="50">
        <v>60</v>
      </c>
      <c r="K10" s="16" t="s">
        <v>82</v>
      </c>
      <c r="L10" s="50">
        <v>60</v>
      </c>
    </row>
    <row r="11" spans="3:12" x14ac:dyDescent="0.2">
      <c r="D11" s="16" t="s">
        <v>83</v>
      </c>
      <c r="E11" s="17" t="s">
        <v>84</v>
      </c>
    </row>
    <row r="13" spans="3:12" x14ac:dyDescent="0.2">
      <c r="D13" s="16" t="s">
        <v>85</v>
      </c>
      <c r="E13" s="49">
        <v>0</v>
      </c>
      <c r="H13" s="38" t="s">
        <v>86</v>
      </c>
      <c r="I13" s="51">
        <f>SUM(I14:I21)</f>
        <v>30</v>
      </c>
      <c r="K13" s="38" t="s">
        <v>86</v>
      </c>
      <c r="L13" s="51">
        <f>SUM(L14:L21)</f>
        <v>30</v>
      </c>
    </row>
    <row r="14" spans="3:12" x14ac:dyDescent="0.2">
      <c r="D14" s="2"/>
      <c r="H14" s="17"/>
      <c r="I14" s="49">
        <v>30</v>
      </c>
      <c r="K14" s="17"/>
      <c r="L14" s="49">
        <v>30</v>
      </c>
    </row>
    <row r="15" spans="3:12" x14ac:dyDescent="0.2">
      <c r="D15" s="16" t="s">
        <v>87</v>
      </c>
      <c r="E15" s="49">
        <v>150000</v>
      </c>
      <c r="H15" s="17"/>
      <c r="I15" s="17"/>
      <c r="K15" s="17"/>
      <c r="L15" s="17"/>
    </row>
    <row r="16" spans="3:12" x14ac:dyDescent="0.2">
      <c r="H16" s="17"/>
      <c r="I16" s="17"/>
      <c r="K16" s="17"/>
      <c r="L16" s="17"/>
    </row>
    <row r="17" spans="4:12" x14ac:dyDescent="0.2">
      <c r="H17" s="17"/>
      <c r="I17" s="17"/>
      <c r="K17" s="17"/>
      <c r="L17" s="17"/>
    </row>
    <row r="18" spans="4:12" ht="15.75" customHeight="1" thickBot="1" x14ac:dyDescent="0.25">
      <c r="D18" s="24" t="s">
        <v>88</v>
      </c>
      <c r="E18" s="28" t="s">
        <v>89</v>
      </c>
      <c r="H18" s="17"/>
      <c r="I18" s="17"/>
      <c r="K18" s="17"/>
      <c r="L18" s="17"/>
    </row>
    <row r="19" spans="4:12" ht="15.75" customHeight="1" thickTop="1" x14ac:dyDescent="0.2">
      <c r="D19" s="23"/>
      <c r="E19" s="52"/>
      <c r="H19" s="17"/>
      <c r="I19" s="17"/>
      <c r="K19" s="17"/>
      <c r="L19" s="17"/>
    </row>
    <row r="20" spans="4:12" x14ac:dyDescent="0.2">
      <c r="D20" s="23"/>
      <c r="E20" s="52"/>
      <c r="H20" s="17"/>
      <c r="I20" s="17"/>
      <c r="K20" s="17"/>
      <c r="L20" s="17"/>
    </row>
    <row r="21" spans="4:12" x14ac:dyDescent="0.2">
      <c r="D21" s="23"/>
      <c r="E21" s="52"/>
      <c r="H21" s="17"/>
      <c r="I21" s="17"/>
      <c r="K21" s="17"/>
      <c r="L21" s="17"/>
    </row>
    <row r="22" spans="4:12" x14ac:dyDescent="0.2">
      <c r="D22" s="23"/>
      <c r="E22" s="52"/>
    </row>
    <row r="23" spans="4:12" ht="15.75" customHeight="1" thickBot="1" x14ac:dyDescent="0.25">
      <c r="D23" s="25" t="s">
        <v>90</v>
      </c>
      <c r="E23" s="26">
        <f>SUM(E19:E22)</f>
        <v>0</v>
      </c>
      <c r="H23" s="38" t="s">
        <v>91</v>
      </c>
      <c r="I23" s="51">
        <f>SUM(I24:I31)</f>
        <v>0</v>
      </c>
      <c r="K23" s="38" t="s">
        <v>91</v>
      </c>
      <c r="L23" s="51">
        <f>SUM(L24:L31)</f>
        <v>0</v>
      </c>
    </row>
    <row r="24" spans="4:12" ht="15.75" customHeight="1" thickTop="1" x14ac:dyDescent="0.2">
      <c r="H24" s="17"/>
      <c r="I24" s="49">
        <v>0</v>
      </c>
      <c r="K24" s="17"/>
      <c r="L24" s="49">
        <v>0</v>
      </c>
    </row>
    <row r="25" spans="4:12" x14ac:dyDescent="0.2">
      <c r="H25" s="17"/>
      <c r="I25" s="17"/>
      <c r="K25" s="17"/>
      <c r="L25" s="17"/>
    </row>
    <row r="26" spans="4:12" x14ac:dyDescent="0.2">
      <c r="H26" s="17"/>
      <c r="I26" s="17"/>
      <c r="K26" s="17"/>
      <c r="L26" s="17"/>
    </row>
    <row r="27" spans="4:12" x14ac:dyDescent="0.2">
      <c r="H27" s="17"/>
      <c r="I27" s="17"/>
      <c r="K27" s="17"/>
      <c r="L27" s="17"/>
    </row>
    <row r="28" spans="4:12" x14ac:dyDescent="0.2">
      <c r="H28" s="17"/>
      <c r="I28" s="17"/>
      <c r="K28" s="17"/>
      <c r="L28" s="17"/>
    </row>
    <row r="29" spans="4:12" x14ac:dyDescent="0.2">
      <c r="H29" s="17"/>
      <c r="I29" s="17"/>
      <c r="K29" s="17"/>
      <c r="L29" s="17"/>
    </row>
    <row r="30" spans="4:12" x14ac:dyDescent="0.2">
      <c r="H30" s="17"/>
      <c r="I30" s="17"/>
      <c r="K30" s="17"/>
      <c r="L30" s="17"/>
    </row>
    <row r="31" spans="4:12" x14ac:dyDescent="0.2">
      <c r="H31" s="17"/>
      <c r="I31" s="17"/>
      <c r="K31" s="17"/>
      <c r="L31" s="17"/>
    </row>
  </sheetData>
  <pageMargins left="0.75" right="0.75" top="1" bottom="1" header="0.5" footer="0.5"/>
  <pageSetup paperSize="9" scale="49" orientation="portrait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83"/>
  <sheetViews>
    <sheetView showGridLines="0" tabSelected="1" zoomScale="116" zoomScaleNormal="140" workbookViewId="0">
      <pane xSplit="1" ySplit="1" topLeftCell="C46" activePane="bottomRight" state="frozen"/>
      <selection pane="topRight" activeCell="B1" sqref="B1"/>
      <selection pane="bottomLeft" activeCell="A2" sqref="A2"/>
      <selection pane="bottomRight" activeCell="H73" sqref="H73"/>
    </sheetView>
  </sheetViews>
  <sheetFormatPr baseColWidth="10" defaultColWidth="9.1640625" defaultRowHeight="15" outlineLevelRow="1" x14ac:dyDescent="0.2"/>
  <cols>
    <col min="1" max="1" width="28" style="5" bestFit="1" customWidth="1"/>
    <col min="2" max="2" width="5.33203125" style="5" customWidth="1"/>
    <col min="3" max="14" width="13.33203125" style="5" bestFit="1" customWidth="1"/>
    <col min="15" max="15" width="9.6640625" style="5" bestFit="1" customWidth="1"/>
    <col min="16" max="18" width="13.33203125" style="5" bestFit="1" customWidth="1"/>
    <col min="19" max="19" width="14.5" style="5" bestFit="1" customWidth="1"/>
    <col min="20" max="20" width="9.1640625" style="5" customWidth="1"/>
    <col min="21" max="16384" width="9.1640625" style="5"/>
  </cols>
  <sheetData>
    <row r="1" spans="1:19" s="21" customFormat="1" ht="20.25" customHeight="1" x14ac:dyDescent="0.2">
      <c r="A1" s="20" t="s">
        <v>0</v>
      </c>
      <c r="C1" s="40" t="s">
        <v>1</v>
      </c>
      <c r="D1" s="40" t="s">
        <v>2</v>
      </c>
      <c r="E1" s="40" t="s">
        <v>3</v>
      </c>
      <c r="F1" s="40" t="s">
        <v>4</v>
      </c>
      <c r="G1" s="40" t="s">
        <v>5</v>
      </c>
      <c r="H1" s="40" t="s">
        <v>6</v>
      </c>
      <c r="I1" s="40" t="s">
        <v>7</v>
      </c>
      <c r="J1" s="40" t="s">
        <v>8</v>
      </c>
      <c r="K1" s="40" t="s">
        <v>9</v>
      </c>
      <c r="L1" s="40" t="s">
        <v>10</v>
      </c>
      <c r="M1" s="40" t="s">
        <v>11</v>
      </c>
      <c r="N1" s="40" t="s">
        <v>12</v>
      </c>
      <c r="O1" s="22"/>
      <c r="P1" s="40" t="s">
        <v>13</v>
      </c>
      <c r="Q1" s="40" t="s">
        <v>14</v>
      </c>
      <c r="R1" s="40" t="s">
        <v>15</v>
      </c>
      <c r="S1" s="40" t="s">
        <v>16</v>
      </c>
    </row>
    <row r="2" spans="1:19" ht="15" customHeight="1" x14ac:dyDescent="0.2">
      <c r="A2" s="4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9"/>
      <c r="P2" s="18"/>
      <c r="Q2" s="18"/>
      <c r="R2" s="18"/>
      <c r="S2" s="18"/>
    </row>
    <row r="3" spans="1:19" ht="17.25" customHeight="1" outlineLevel="1" x14ac:dyDescent="0.2">
      <c r="A3" s="14" t="s">
        <v>17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P3" s="29"/>
      <c r="Q3" s="29"/>
      <c r="R3" s="29"/>
      <c r="S3" s="29"/>
    </row>
    <row r="4" spans="1:19" outlineLevel="1" x14ac:dyDescent="0.2">
      <c r="A4" s="6" t="str">
        <f>+Varsayımlar!$I$9</f>
        <v>NAR-3358 + NAR-32MP2x (her ikisi $60)</v>
      </c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P4" s="30"/>
      <c r="Q4" s="30"/>
      <c r="R4" s="30"/>
      <c r="S4" s="30"/>
    </row>
    <row r="5" spans="1:19" outlineLevel="1" x14ac:dyDescent="0.2">
      <c r="A5" s="7" t="s">
        <v>18</v>
      </c>
      <c r="C5" s="53">
        <f>+Varsayımlar!$I$10</f>
        <v>60</v>
      </c>
      <c r="D5" s="53">
        <f t="shared" ref="D5:N5" si="0">+C5</f>
        <v>60</v>
      </c>
      <c r="E5" s="53">
        <f t="shared" si="0"/>
        <v>60</v>
      </c>
      <c r="F5" s="53">
        <f t="shared" si="0"/>
        <v>60</v>
      </c>
      <c r="G5" s="53">
        <f t="shared" si="0"/>
        <v>60</v>
      </c>
      <c r="H5" s="53">
        <f t="shared" si="0"/>
        <v>60</v>
      </c>
      <c r="I5" s="53">
        <f t="shared" si="0"/>
        <v>60</v>
      </c>
      <c r="J5" s="53">
        <f t="shared" si="0"/>
        <v>60</v>
      </c>
      <c r="K5" s="53">
        <f t="shared" si="0"/>
        <v>60</v>
      </c>
      <c r="L5" s="53">
        <f t="shared" si="0"/>
        <v>60</v>
      </c>
      <c r="M5" s="53">
        <f t="shared" si="0"/>
        <v>60</v>
      </c>
      <c r="N5" s="53">
        <f t="shared" si="0"/>
        <v>60</v>
      </c>
      <c r="P5" s="53">
        <f>+N5</f>
        <v>60</v>
      </c>
      <c r="Q5" s="53">
        <f>+P5</f>
        <v>60</v>
      </c>
      <c r="R5" s="53">
        <f>+Q5</f>
        <v>60</v>
      </c>
      <c r="S5" s="53">
        <f>+R5</f>
        <v>60</v>
      </c>
    </row>
    <row r="6" spans="1:19" outlineLevel="1" x14ac:dyDescent="0.2">
      <c r="A6" s="8" t="s">
        <v>19</v>
      </c>
      <c r="C6" s="54">
        <v>0</v>
      </c>
      <c r="D6" s="54">
        <v>0</v>
      </c>
      <c r="E6" s="54">
        <v>0</v>
      </c>
      <c r="F6" s="54">
        <v>0</v>
      </c>
      <c r="G6" s="54">
        <v>0</v>
      </c>
      <c r="H6" s="54">
        <v>0</v>
      </c>
      <c r="I6" s="54">
        <v>0</v>
      </c>
      <c r="J6" s="54">
        <v>0</v>
      </c>
      <c r="K6" s="54">
        <v>20</v>
      </c>
      <c r="L6" s="54">
        <v>25</v>
      </c>
      <c r="M6" s="54">
        <v>25</v>
      </c>
      <c r="N6" s="54">
        <v>30</v>
      </c>
      <c r="P6" s="54">
        <v>5075</v>
      </c>
      <c r="Q6" s="54">
        <v>9000</v>
      </c>
      <c r="R6" s="54">
        <v>30750</v>
      </c>
      <c r="S6" s="54">
        <v>70000</v>
      </c>
    </row>
    <row r="7" spans="1:19" outlineLevel="1" x14ac:dyDescent="0.2">
      <c r="A7" s="8" t="s">
        <v>20</v>
      </c>
      <c r="C7" s="55">
        <f t="shared" ref="C7:N7" si="1">+C6*C5</f>
        <v>0</v>
      </c>
      <c r="D7" s="55">
        <f t="shared" si="1"/>
        <v>0</v>
      </c>
      <c r="E7" s="55">
        <f t="shared" si="1"/>
        <v>0</v>
      </c>
      <c r="F7" s="55">
        <f t="shared" si="1"/>
        <v>0</v>
      </c>
      <c r="G7" s="55">
        <f t="shared" si="1"/>
        <v>0</v>
      </c>
      <c r="H7" s="55">
        <f t="shared" si="1"/>
        <v>0</v>
      </c>
      <c r="I7" s="55">
        <f t="shared" si="1"/>
        <v>0</v>
      </c>
      <c r="J7" s="55">
        <f t="shared" si="1"/>
        <v>0</v>
      </c>
      <c r="K7" s="55">
        <f t="shared" si="1"/>
        <v>1200</v>
      </c>
      <c r="L7" s="55">
        <f t="shared" si="1"/>
        <v>1500</v>
      </c>
      <c r="M7" s="55">
        <f t="shared" si="1"/>
        <v>1500</v>
      </c>
      <c r="N7" s="55">
        <f t="shared" si="1"/>
        <v>1800</v>
      </c>
      <c r="P7" s="55">
        <f>+P6*P5</f>
        <v>304500</v>
      </c>
      <c r="Q7" s="55">
        <f>+Q6*Q5</f>
        <v>540000</v>
      </c>
      <c r="R7" s="55">
        <f>+R6*R5</f>
        <v>1845000</v>
      </c>
      <c r="S7" s="55">
        <f>+S6*S5</f>
        <v>4200000</v>
      </c>
    </row>
    <row r="8" spans="1:19" outlineLevel="1" x14ac:dyDescent="0.2">
      <c r="A8" s="9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P8" s="31"/>
      <c r="Q8" s="31"/>
      <c r="R8" s="31"/>
      <c r="S8" s="31"/>
    </row>
    <row r="9" spans="1:19" outlineLevel="1" x14ac:dyDescent="0.2">
      <c r="A9" s="4" t="str">
        <f>+Varsayımlar!$L$9</f>
        <v>NAR-ESP32 + NAR-9151 bundle ($15 + $45 = $60)</v>
      </c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P9" s="31"/>
      <c r="Q9" s="31"/>
      <c r="R9" s="31"/>
      <c r="S9" s="31"/>
    </row>
    <row r="10" spans="1:19" outlineLevel="1" x14ac:dyDescent="0.2">
      <c r="A10" s="7" t="s">
        <v>18</v>
      </c>
      <c r="C10" s="53">
        <f>+Varsayımlar!L10</f>
        <v>60</v>
      </c>
      <c r="D10" s="53">
        <f t="shared" ref="D10:N10" si="2">+C10</f>
        <v>60</v>
      </c>
      <c r="E10" s="53">
        <f t="shared" si="2"/>
        <v>60</v>
      </c>
      <c r="F10" s="53">
        <f t="shared" si="2"/>
        <v>60</v>
      </c>
      <c r="G10" s="53">
        <f t="shared" si="2"/>
        <v>60</v>
      </c>
      <c r="H10" s="53">
        <f t="shared" si="2"/>
        <v>60</v>
      </c>
      <c r="I10" s="53">
        <f t="shared" si="2"/>
        <v>60</v>
      </c>
      <c r="J10" s="53">
        <f t="shared" si="2"/>
        <v>60</v>
      </c>
      <c r="K10" s="53">
        <f t="shared" si="2"/>
        <v>60</v>
      </c>
      <c r="L10" s="53">
        <f t="shared" si="2"/>
        <v>60</v>
      </c>
      <c r="M10" s="53">
        <f t="shared" si="2"/>
        <v>60</v>
      </c>
      <c r="N10" s="53">
        <f t="shared" si="2"/>
        <v>60</v>
      </c>
      <c r="P10" s="53">
        <f>+N10</f>
        <v>60</v>
      </c>
      <c r="Q10" s="53">
        <f>+P10</f>
        <v>60</v>
      </c>
      <c r="R10" s="53">
        <f>+Q10</f>
        <v>60</v>
      </c>
      <c r="S10" s="53">
        <f>+R10</f>
        <v>60</v>
      </c>
    </row>
    <row r="11" spans="1:19" outlineLevel="1" x14ac:dyDescent="0.2">
      <c r="A11" s="8" t="s">
        <v>19</v>
      </c>
      <c r="C11" s="54">
        <v>0</v>
      </c>
      <c r="D11" s="54">
        <v>42</v>
      </c>
      <c r="E11" s="54">
        <v>84</v>
      </c>
      <c r="F11" s="54">
        <v>125</v>
      </c>
      <c r="G11" s="54">
        <v>166</v>
      </c>
      <c r="H11" s="54">
        <v>208</v>
      </c>
      <c r="I11" s="54">
        <v>292</v>
      </c>
      <c r="J11" s="54">
        <v>375</v>
      </c>
      <c r="K11" s="54">
        <v>458</v>
      </c>
      <c r="L11" s="54">
        <v>542</v>
      </c>
      <c r="M11" s="54">
        <v>625</v>
      </c>
      <c r="N11" s="54">
        <v>656</v>
      </c>
      <c r="P11" s="54">
        <v>15750</v>
      </c>
      <c r="Q11" s="54">
        <v>27000</v>
      </c>
      <c r="R11" s="54">
        <v>380000</v>
      </c>
      <c r="S11" s="54">
        <v>450000</v>
      </c>
    </row>
    <row r="12" spans="1:19" outlineLevel="1" x14ac:dyDescent="0.2">
      <c r="A12" s="8" t="s">
        <v>20</v>
      </c>
      <c r="C12" s="55">
        <f t="shared" ref="C12:N12" si="3">+C11*C10</f>
        <v>0</v>
      </c>
      <c r="D12" s="55">
        <f t="shared" si="3"/>
        <v>2520</v>
      </c>
      <c r="E12" s="55">
        <f t="shared" si="3"/>
        <v>5040</v>
      </c>
      <c r="F12" s="55">
        <f t="shared" si="3"/>
        <v>7500</v>
      </c>
      <c r="G12" s="55">
        <f t="shared" si="3"/>
        <v>9960</v>
      </c>
      <c r="H12" s="55">
        <f t="shared" si="3"/>
        <v>12480</v>
      </c>
      <c r="I12" s="55">
        <f t="shared" si="3"/>
        <v>17520</v>
      </c>
      <c r="J12" s="55">
        <f t="shared" si="3"/>
        <v>22500</v>
      </c>
      <c r="K12" s="55">
        <f t="shared" si="3"/>
        <v>27480</v>
      </c>
      <c r="L12" s="55">
        <f t="shared" si="3"/>
        <v>32520</v>
      </c>
      <c r="M12" s="55">
        <f t="shared" si="3"/>
        <v>37500</v>
      </c>
      <c r="N12" s="55">
        <f t="shared" si="3"/>
        <v>39360</v>
      </c>
      <c r="P12" s="55">
        <f>+P11*P10</f>
        <v>945000</v>
      </c>
      <c r="Q12" s="55">
        <f>+Q11*Q10</f>
        <v>1620000</v>
      </c>
      <c r="R12" s="55">
        <f>+R11*R10</f>
        <v>22800000</v>
      </c>
      <c r="S12" s="55">
        <f>+S11*S10</f>
        <v>27000000</v>
      </c>
    </row>
    <row r="13" spans="1:19" x14ac:dyDescent="0.2">
      <c r="A13" s="8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P13" s="32"/>
      <c r="Q13" s="32"/>
      <c r="R13" s="32"/>
      <c r="S13" s="32"/>
    </row>
    <row r="14" spans="1:19" ht="17.25" customHeight="1" x14ac:dyDescent="0.2">
      <c r="A14" s="14" t="s">
        <v>21</v>
      </c>
      <c r="C14" s="56">
        <f t="shared" ref="C14:N14" si="4">+C12+C7</f>
        <v>0</v>
      </c>
      <c r="D14" s="56">
        <f t="shared" si="4"/>
        <v>2520</v>
      </c>
      <c r="E14" s="56">
        <f t="shared" si="4"/>
        <v>5040</v>
      </c>
      <c r="F14" s="56">
        <f t="shared" si="4"/>
        <v>7500</v>
      </c>
      <c r="G14" s="56">
        <f t="shared" si="4"/>
        <v>9960</v>
      </c>
      <c r="H14" s="56">
        <f t="shared" si="4"/>
        <v>12480</v>
      </c>
      <c r="I14" s="56">
        <f t="shared" si="4"/>
        <v>17520</v>
      </c>
      <c r="J14" s="56">
        <f t="shared" si="4"/>
        <v>22500</v>
      </c>
      <c r="K14" s="56">
        <f t="shared" si="4"/>
        <v>28680</v>
      </c>
      <c r="L14" s="56">
        <f t="shared" si="4"/>
        <v>34020</v>
      </c>
      <c r="M14" s="56">
        <f t="shared" si="4"/>
        <v>39000</v>
      </c>
      <c r="N14" s="56">
        <f t="shared" si="4"/>
        <v>41160</v>
      </c>
      <c r="O14" s="33"/>
      <c r="P14" s="56">
        <f>+P12+P7</f>
        <v>1249500</v>
      </c>
      <c r="Q14" s="56">
        <f>+Q12+Q7</f>
        <v>2160000</v>
      </c>
      <c r="R14" s="56">
        <f>+R12+R7</f>
        <v>24645000</v>
      </c>
      <c r="S14" s="56">
        <f>+S12+S7</f>
        <v>31200000</v>
      </c>
    </row>
    <row r="15" spans="1:19" x14ac:dyDescent="0.2">
      <c r="A15" s="8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P15" s="34"/>
      <c r="Q15" s="34"/>
      <c r="R15" s="34"/>
      <c r="S15" s="34"/>
    </row>
    <row r="16" spans="1:19" x14ac:dyDescent="0.2">
      <c r="A16" s="4" t="s">
        <v>22</v>
      </c>
      <c r="C16" s="57">
        <f t="shared" ref="C16:N16" si="5">IFERROR((C14-C18)/C14,0)</f>
        <v>0</v>
      </c>
      <c r="D16" s="57">
        <f t="shared" si="5"/>
        <v>0.5</v>
      </c>
      <c r="E16" s="57">
        <f t="shared" si="5"/>
        <v>0.5</v>
      </c>
      <c r="F16" s="57">
        <f t="shared" si="5"/>
        <v>0.5</v>
      </c>
      <c r="G16" s="57">
        <f t="shared" si="5"/>
        <v>0.5</v>
      </c>
      <c r="H16" s="57">
        <f t="shared" si="5"/>
        <v>0.5</v>
      </c>
      <c r="I16" s="57">
        <f t="shared" si="5"/>
        <v>0.5</v>
      </c>
      <c r="J16" s="57">
        <f t="shared" si="5"/>
        <v>0.5</v>
      </c>
      <c r="K16" s="57">
        <f t="shared" si="5"/>
        <v>0.5</v>
      </c>
      <c r="L16" s="57">
        <f t="shared" si="5"/>
        <v>0.5</v>
      </c>
      <c r="M16" s="57">
        <f t="shared" si="5"/>
        <v>0.5</v>
      </c>
      <c r="N16" s="57">
        <f t="shared" si="5"/>
        <v>0.5</v>
      </c>
      <c r="P16" s="57">
        <f>IFERROR((P14-P18)/P14,0)</f>
        <v>0.5</v>
      </c>
      <c r="Q16" s="57">
        <f>IFERROR((Q14-Q18)/Q14,0)</f>
        <v>0.5</v>
      </c>
      <c r="R16" s="57">
        <f>IFERROR((R14-R18)/R14,0)</f>
        <v>0.5</v>
      </c>
      <c r="S16" s="57">
        <f>IFERROR((S14-S18)/S14,0)</f>
        <v>0.5</v>
      </c>
    </row>
    <row r="17" spans="1:19" ht="13.5" customHeight="1" x14ac:dyDescent="0.2">
      <c r="A17" s="4"/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P17" s="44"/>
      <c r="Q17" s="44"/>
      <c r="R17" s="44"/>
      <c r="S17" s="44"/>
    </row>
    <row r="18" spans="1:19" ht="17.25" customHeight="1" x14ac:dyDescent="0.2">
      <c r="A18" s="14" t="s">
        <v>23</v>
      </c>
      <c r="C18" s="56">
        <f t="shared" ref="C18:N18" si="6">SUM(C19:C20)</f>
        <v>0</v>
      </c>
      <c r="D18" s="56">
        <f t="shared" si="6"/>
        <v>1260</v>
      </c>
      <c r="E18" s="56">
        <f t="shared" si="6"/>
        <v>2520</v>
      </c>
      <c r="F18" s="56">
        <f t="shared" si="6"/>
        <v>3750</v>
      </c>
      <c r="G18" s="56">
        <f t="shared" si="6"/>
        <v>4980</v>
      </c>
      <c r="H18" s="56">
        <f t="shared" si="6"/>
        <v>6240</v>
      </c>
      <c r="I18" s="56">
        <f t="shared" si="6"/>
        <v>8760</v>
      </c>
      <c r="J18" s="56">
        <f t="shared" si="6"/>
        <v>11250</v>
      </c>
      <c r="K18" s="56">
        <f t="shared" si="6"/>
        <v>14340</v>
      </c>
      <c r="L18" s="56">
        <f t="shared" si="6"/>
        <v>17010</v>
      </c>
      <c r="M18" s="56">
        <f t="shared" si="6"/>
        <v>19500</v>
      </c>
      <c r="N18" s="56">
        <f t="shared" si="6"/>
        <v>20580</v>
      </c>
      <c r="O18" s="33"/>
      <c r="P18" s="56">
        <f>SUM(P19:P20)</f>
        <v>624750</v>
      </c>
      <c r="Q18" s="56">
        <f>SUM(Q19:Q20)</f>
        <v>1080000</v>
      </c>
      <c r="R18" s="56">
        <f>SUM(R19:R20)</f>
        <v>12322500</v>
      </c>
      <c r="S18" s="56">
        <f>SUM(S19:S20)</f>
        <v>15600000</v>
      </c>
    </row>
    <row r="19" spans="1:19" outlineLevel="1" x14ac:dyDescent="0.2">
      <c r="A19" s="8" t="str">
        <f>+Varsayımlar!$I$9</f>
        <v>NAR-3358 + NAR-32MP2x (her ikisi $60)</v>
      </c>
      <c r="C19" s="58">
        <f>+C6*Varsayımlar!$I$13</f>
        <v>0</v>
      </c>
      <c r="D19" s="58">
        <f>+D6*Varsayımlar!$I$13</f>
        <v>0</v>
      </c>
      <c r="E19" s="58">
        <f>+E6*Varsayımlar!$I$13</f>
        <v>0</v>
      </c>
      <c r="F19" s="58">
        <f>+F6*Varsayımlar!$I$13</f>
        <v>0</v>
      </c>
      <c r="G19" s="58">
        <f>+G6*Varsayımlar!$I$13</f>
        <v>0</v>
      </c>
      <c r="H19" s="58">
        <f>+H6*Varsayımlar!$I$13</f>
        <v>0</v>
      </c>
      <c r="I19" s="58">
        <f>+I6*Varsayımlar!$I$13</f>
        <v>0</v>
      </c>
      <c r="J19" s="58">
        <f>+J6*Varsayımlar!$I$13</f>
        <v>0</v>
      </c>
      <c r="K19" s="58">
        <f>+K6*Varsayımlar!$I$13</f>
        <v>600</v>
      </c>
      <c r="L19" s="58">
        <f>+L6*Varsayımlar!$I$13</f>
        <v>750</v>
      </c>
      <c r="M19" s="58">
        <f>+M6*Varsayımlar!$I$13</f>
        <v>750</v>
      </c>
      <c r="N19" s="58">
        <f>+N6*Varsayımlar!$I$13</f>
        <v>900</v>
      </c>
      <c r="P19" s="58">
        <f>+P6*Varsayımlar!$I$13</f>
        <v>152250</v>
      </c>
      <c r="Q19" s="58">
        <f>+Q6*Varsayımlar!$I$13</f>
        <v>270000</v>
      </c>
      <c r="R19" s="58">
        <f>+R6*Varsayımlar!$I$13</f>
        <v>922500</v>
      </c>
      <c r="S19" s="58">
        <f>+S6*Varsayımlar!$I$13</f>
        <v>2100000</v>
      </c>
    </row>
    <row r="20" spans="1:19" outlineLevel="1" x14ac:dyDescent="0.2">
      <c r="A20" s="8" t="str">
        <f>+Varsayımlar!$L$9</f>
        <v>NAR-ESP32 + NAR-9151 bundle ($15 + $45 = $60)</v>
      </c>
      <c r="C20" s="58">
        <f>+C11*Varsayımlar!$L$13</f>
        <v>0</v>
      </c>
      <c r="D20" s="58">
        <f>+D11*Varsayımlar!$L$13</f>
        <v>1260</v>
      </c>
      <c r="E20" s="58">
        <f>+E11*Varsayımlar!$L$13</f>
        <v>2520</v>
      </c>
      <c r="F20" s="58">
        <f>+F11*Varsayımlar!$L$13</f>
        <v>3750</v>
      </c>
      <c r="G20" s="58">
        <f>+G11*Varsayımlar!$L$13</f>
        <v>4980</v>
      </c>
      <c r="H20" s="58">
        <f>+H11*Varsayımlar!$L$13</f>
        <v>6240</v>
      </c>
      <c r="I20" s="58">
        <f>+I11*Varsayımlar!$L$13</f>
        <v>8760</v>
      </c>
      <c r="J20" s="58">
        <f>+J11*Varsayımlar!$L$13</f>
        <v>11250</v>
      </c>
      <c r="K20" s="58">
        <f>+K11*Varsayımlar!$L$13</f>
        <v>13740</v>
      </c>
      <c r="L20" s="58">
        <f>+L11*Varsayımlar!$L$13</f>
        <v>16260</v>
      </c>
      <c r="M20" s="58">
        <f>+M11*Varsayımlar!$L$13</f>
        <v>18750</v>
      </c>
      <c r="N20" s="58">
        <f>+N11*Varsayımlar!$L$13</f>
        <v>19680</v>
      </c>
      <c r="P20" s="58">
        <f>+P11*Varsayımlar!$L$13</f>
        <v>472500</v>
      </c>
      <c r="Q20" s="58">
        <f>+Q11*Varsayımlar!$L$13</f>
        <v>810000</v>
      </c>
      <c r="R20" s="58">
        <f>+R11*Varsayımlar!$L$13</f>
        <v>11400000</v>
      </c>
      <c r="S20" s="58">
        <f>+S11*Varsayımlar!$L$13</f>
        <v>13500000</v>
      </c>
    </row>
    <row r="21" spans="1:19" x14ac:dyDescent="0.2">
      <c r="A21" s="6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P21" s="3"/>
      <c r="Q21" s="3"/>
      <c r="R21" s="3"/>
      <c r="S21" s="3"/>
    </row>
    <row r="22" spans="1:19" ht="17.25" customHeight="1" x14ac:dyDescent="0.2">
      <c r="A22" s="14" t="s">
        <v>24</v>
      </c>
      <c r="C22" s="56">
        <f t="shared" ref="C22:N22" si="7">SUM(C23:C34)</f>
        <v>8214.27</v>
      </c>
      <c r="D22" s="56">
        <f t="shared" si="7"/>
        <v>8214.27</v>
      </c>
      <c r="E22" s="56">
        <f t="shared" si="7"/>
        <v>8214.27</v>
      </c>
      <c r="F22" s="56">
        <f t="shared" si="7"/>
        <v>8214.27</v>
      </c>
      <c r="G22" s="56">
        <f t="shared" si="7"/>
        <v>8214.27</v>
      </c>
      <c r="H22" s="56">
        <f t="shared" si="7"/>
        <v>8214.27</v>
      </c>
      <c r="I22" s="56">
        <f t="shared" si="7"/>
        <v>10952.36</v>
      </c>
      <c r="J22" s="56">
        <f t="shared" si="7"/>
        <v>10952.36</v>
      </c>
      <c r="K22" s="56">
        <f t="shared" si="7"/>
        <v>13690.46</v>
      </c>
      <c r="L22" s="56">
        <f t="shared" si="7"/>
        <v>13690.46</v>
      </c>
      <c r="M22" s="56">
        <f t="shared" si="7"/>
        <v>13690.46</v>
      </c>
      <c r="N22" s="56">
        <f t="shared" si="7"/>
        <v>13690.46</v>
      </c>
      <c r="O22" s="33"/>
      <c r="P22" s="56">
        <f>SUM(P23:P34)</f>
        <v>206785.47999999998</v>
      </c>
      <c r="Q22" s="56">
        <f>SUM(Q23:Q34)</f>
        <v>217124.75999999998</v>
      </c>
      <c r="R22" s="56">
        <f>SUM(R23:R34)</f>
        <v>227980.99999999997</v>
      </c>
      <c r="S22" s="56">
        <f>SUM(S23:S34)</f>
        <v>239380.06000000003</v>
      </c>
    </row>
    <row r="23" spans="1:19" outlineLevel="1" x14ac:dyDescent="0.2">
      <c r="A23" s="7" t="s">
        <v>25</v>
      </c>
      <c r="C23" s="59">
        <v>2857.14</v>
      </c>
      <c r="D23" s="59">
        <v>2857.14</v>
      </c>
      <c r="E23" s="59">
        <v>2857.14</v>
      </c>
      <c r="F23" s="59">
        <v>2857.14</v>
      </c>
      <c r="G23" s="59">
        <v>2857.14</v>
      </c>
      <c r="H23" s="59">
        <v>2857.14</v>
      </c>
      <c r="I23" s="59">
        <v>2857.14</v>
      </c>
      <c r="J23" s="59">
        <v>2857.14</v>
      </c>
      <c r="K23" s="59">
        <v>3571.43</v>
      </c>
      <c r="L23" s="59">
        <v>3571.43</v>
      </c>
      <c r="M23" s="59">
        <v>3571.43</v>
      </c>
      <c r="N23" s="59">
        <v>3571.43</v>
      </c>
      <c r="O23" s="13"/>
      <c r="P23" s="59">
        <v>45000.02</v>
      </c>
      <c r="Q23" s="59">
        <v>47250.02</v>
      </c>
      <c r="R23" s="59">
        <v>49612.52</v>
      </c>
      <c r="S23" s="59">
        <v>52093.15</v>
      </c>
    </row>
    <row r="24" spans="1:19" outlineLevel="1" x14ac:dyDescent="0.2">
      <c r="A24" s="7" t="s">
        <v>26</v>
      </c>
      <c r="C24" s="59">
        <v>1428.57</v>
      </c>
      <c r="D24" s="59">
        <v>1428.57</v>
      </c>
      <c r="E24" s="59">
        <v>1428.57</v>
      </c>
      <c r="F24" s="59">
        <v>1428.57</v>
      </c>
      <c r="G24" s="59">
        <v>1428.57</v>
      </c>
      <c r="H24" s="59">
        <v>1428.57</v>
      </c>
      <c r="I24" s="59">
        <v>2857.14</v>
      </c>
      <c r="J24" s="59">
        <v>2857.14</v>
      </c>
      <c r="K24" s="59">
        <v>3571.43</v>
      </c>
      <c r="L24" s="59">
        <v>3571.43</v>
      </c>
      <c r="M24" s="59">
        <v>3571.43</v>
      </c>
      <c r="N24" s="59">
        <v>3571.43</v>
      </c>
      <c r="O24" s="13"/>
      <c r="P24" s="59">
        <v>45000.02</v>
      </c>
      <c r="Q24" s="59">
        <v>47250.02</v>
      </c>
      <c r="R24" s="59">
        <v>49612.52</v>
      </c>
      <c r="S24" s="59">
        <v>52093.15</v>
      </c>
    </row>
    <row r="25" spans="1:19" outlineLevel="1" x14ac:dyDescent="0.2">
      <c r="A25" s="7" t="s">
        <v>27</v>
      </c>
      <c r="C25" s="59">
        <v>1309.52</v>
      </c>
      <c r="D25" s="59">
        <v>1309.52</v>
      </c>
      <c r="E25" s="59">
        <v>1309.52</v>
      </c>
      <c r="F25" s="59">
        <v>1309.52</v>
      </c>
      <c r="G25" s="59">
        <v>1309.52</v>
      </c>
      <c r="H25" s="59">
        <v>1309.52</v>
      </c>
      <c r="I25" s="59">
        <v>1309.52</v>
      </c>
      <c r="J25" s="59">
        <v>1309.52</v>
      </c>
      <c r="K25" s="59">
        <v>1636.9</v>
      </c>
      <c r="L25" s="59">
        <v>1636.9</v>
      </c>
      <c r="M25" s="59">
        <v>1636.9</v>
      </c>
      <c r="N25" s="59">
        <v>1636.9</v>
      </c>
      <c r="O25" s="13"/>
      <c r="P25" s="59">
        <v>20624.939999999999</v>
      </c>
      <c r="Q25" s="59">
        <v>21656.19</v>
      </c>
      <c r="R25" s="59">
        <v>22739</v>
      </c>
      <c r="S25" s="59">
        <v>23875.95</v>
      </c>
    </row>
    <row r="26" spans="1:19" outlineLevel="1" x14ac:dyDescent="0.2">
      <c r="A26" s="7" t="s">
        <v>28</v>
      </c>
      <c r="C26" s="59">
        <v>1309.52</v>
      </c>
      <c r="D26" s="59">
        <v>1309.52</v>
      </c>
      <c r="E26" s="59">
        <v>1309.52</v>
      </c>
      <c r="F26" s="59">
        <v>1309.52</v>
      </c>
      <c r="G26" s="59">
        <v>1309.52</v>
      </c>
      <c r="H26" s="59">
        <v>1309.52</v>
      </c>
      <c r="I26" s="59">
        <v>1309.52</v>
      </c>
      <c r="J26" s="59">
        <v>1309.52</v>
      </c>
      <c r="K26" s="59">
        <v>1636.9</v>
      </c>
      <c r="L26" s="59">
        <v>1636.9</v>
      </c>
      <c r="M26" s="59">
        <v>1636.9</v>
      </c>
      <c r="N26" s="59">
        <v>1636.9</v>
      </c>
      <c r="O26" s="13"/>
      <c r="P26" s="59">
        <v>20624.939999999999</v>
      </c>
      <c r="Q26" s="59">
        <v>21656.19</v>
      </c>
      <c r="R26" s="59">
        <v>22739</v>
      </c>
      <c r="S26" s="59">
        <v>23875.95</v>
      </c>
    </row>
    <row r="27" spans="1:19" outlineLevel="1" x14ac:dyDescent="0.2">
      <c r="A27" s="7" t="s">
        <v>29</v>
      </c>
      <c r="C27" s="59">
        <v>1309.52</v>
      </c>
      <c r="D27" s="59">
        <v>1309.52</v>
      </c>
      <c r="E27" s="59">
        <v>1309.52</v>
      </c>
      <c r="F27" s="59">
        <v>1309.52</v>
      </c>
      <c r="G27" s="59">
        <v>1309.52</v>
      </c>
      <c r="H27" s="59">
        <v>1309.52</v>
      </c>
      <c r="I27" s="59">
        <v>1309.52</v>
      </c>
      <c r="J27" s="59">
        <v>1309.52</v>
      </c>
      <c r="K27" s="59">
        <v>1636.9</v>
      </c>
      <c r="L27" s="59">
        <v>1636.9</v>
      </c>
      <c r="M27" s="59">
        <v>1636.9</v>
      </c>
      <c r="N27" s="59">
        <v>1636.9</v>
      </c>
      <c r="O27" s="13"/>
      <c r="P27" s="59">
        <v>20624.939999999999</v>
      </c>
      <c r="Q27" s="59">
        <v>21656.19</v>
      </c>
      <c r="R27" s="59">
        <v>22739</v>
      </c>
      <c r="S27" s="59">
        <v>23875.95</v>
      </c>
    </row>
    <row r="28" spans="1:19" outlineLevel="1" x14ac:dyDescent="0.2">
      <c r="A28" s="7" t="s">
        <v>30</v>
      </c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3"/>
      <c r="P28" s="11"/>
      <c r="Q28" s="11"/>
      <c r="R28" s="11"/>
      <c r="S28" s="11"/>
    </row>
    <row r="29" spans="1:19" outlineLevel="1" x14ac:dyDescent="0.2">
      <c r="A29" s="7" t="s">
        <v>30</v>
      </c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3"/>
      <c r="P29" s="11"/>
      <c r="Q29" s="11"/>
      <c r="R29" s="11"/>
      <c r="S29" s="11"/>
    </row>
    <row r="30" spans="1:19" outlineLevel="1" x14ac:dyDescent="0.2">
      <c r="A30" s="7" t="s">
        <v>30</v>
      </c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3"/>
      <c r="P30" s="11"/>
      <c r="Q30" s="11"/>
      <c r="R30" s="11"/>
      <c r="S30" s="11"/>
    </row>
    <row r="31" spans="1:19" outlineLevel="1" x14ac:dyDescent="0.2">
      <c r="A31" s="7" t="s">
        <v>30</v>
      </c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3"/>
      <c r="P31" s="11"/>
      <c r="Q31" s="11"/>
      <c r="R31" s="11"/>
      <c r="S31" s="11"/>
    </row>
    <row r="32" spans="1:19" outlineLevel="1" x14ac:dyDescent="0.2">
      <c r="A32" s="7" t="s">
        <v>30</v>
      </c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3"/>
      <c r="P32" s="11"/>
      <c r="Q32" s="11"/>
      <c r="R32" s="11"/>
      <c r="S32" s="11"/>
    </row>
    <row r="33" spans="1:19" outlineLevel="1" x14ac:dyDescent="0.2">
      <c r="A33" s="7" t="s">
        <v>31</v>
      </c>
      <c r="C33" s="59">
        <v>0</v>
      </c>
      <c r="D33" s="59">
        <v>0</v>
      </c>
      <c r="E33" s="59">
        <v>0</v>
      </c>
      <c r="F33" s="59">
        <v>0</v>
      </c>
      <c r="G33" s="59">
        <v>0</v>
      </c>
      <c r="H33" s="59">
        <v>0</v>
      </c>
      <c r="I33" s="59">
        <v>1309.52</v>
      </c>
      <c r="J33" s="59">
        <v>1309.52</v>
      </c>
      <c r="K33" s="59">
        <v>1636.9</v>
      </c>
      <c r="L33" s="59">
        <v>1636.9</v>
      </c>
      <c r="M33" s="59">
        <v>1636.9</v>
      </c>
      <c r="N33" s="59">
        <v>1636.9</v>
      </c>
      <c r="O33" s="13"/>
      <c r="P33" s="59">
        <v>20624.939999999999</v>
      </c>
      <c r="Q33" s="59">
        <v>21656.19</v>
      </c>
      <c r="R33" s="59">
        <v>22739</v>
      </c>
      <c r="S33" s="59">
        <v>23875.95</v>
      </c>
    </row>
    <row r="34" spans="1:19" outlineLevel="1" x14ac:dyDescent="0.2">
      <c r="A34" s="7" t="s">
        <v>32</v>
      </c>
      <c r="C34" s="59">
        <v>0</v>
      </c>
      <c r="D34" s="59">
        <v>0</v>
      </c>
      <c r="E34" s="59">
        <v>0</v>
      </c>
      <c r="F34" s="59">
        <v>0</v>
      </c>
      <c r="G34" s="59">
        <v>0</v>
      </c>
      <c r="H34" s="59">
        <v>0</v>
      </c>
      <c r="I34" s="59">
        <v>0</v>
      </c>
      <c r="J34" s="59">
        <v>0</v>
      </c>
      <c r="K34" s="59">
        <v>0</v>
      </c>
      <c r="L34" s="59">
        <v>0</v>
      </c>
      <c r="M34" s="59">
        <v>0</v>
      </c>
      <c r="N34" s="59">
        <v>0</v>
      </c>
      <c r="O34" s="13"/>
      <c r="P34" s="59">
        <v>34285.68</v>
      </c>
      <c r="Q34" s="59">
        <v>35999.96</v>
      </c>
      <c r="R34" s="59">
        <v>37799.96</v>
      </c>
      <c r="S34" s="59">
        <v>39689.96</v>
      </c>
    </row>
    <row r="35" spans="1:19" x14ac:dyDescent="0.2">
      <c r="A35" s="4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P35" s="3"/>
      <c r="Q35" s="3"/>
      <c r="R35" s="3"/>
      <c r="S35" s="3"/>
    </row>
    <row r="36" spans="1:19" ht="17.25" customHeight="1" x14ac:dyDescent="0.2">
      <c r="A36" s="14" t="s">
        <v>33</v>
      </c>
      <c r="C36" s="56">
        <f t="shared" ref="C36:N36" si="8">SUM(C37:C52)</f>
        <v>3730.48</v>
      </c>
      <c r="D36" s="56">
        <f t="shared" si="8"/>
        <v>3730.48</v>
      </c>
      <c r="E36" s="56">
        <f t="shared" si="8"/>
        <v>4325.72</v>
      </c>
      <c r="F36" s="56">
        <f t="shared" si="8"/>
        <v>4325.72</v>
      </c>
      <c r="G36" s="56">
        <f t="shared" si="8"/>
        <v>4325.72</v>
      </c>
      <c r="H36" s="56">
        <f t="shared" si="8"/>
        <v>4325.72</v>
      </c>
      <c r="I36" s="56">
        <f t="shared" si="8"/>
        <v>4325.72</v>
      </c>
      <c r="J36" s="56">
        <f t="shared" si="8"/>
        <v>4325.72</v>
      </c>
      <c r="K36" s="56">
        <f t="shared" si="8"/>
        <v>5197.1400000000003</v>
      </c>
      <c r="L36" s="56">
        <f t="shared" si="8"/>
        <v>5197.1400000000003</v>
      </c>
      <c r="M36" s="56">
        <f t="shared" si="8"/>
        <v>5197.1400000000003</v>
      </c>
      <c r="N36" s="56">
        <f t="shared" si="8"/>
        <v>5197.1400000000003</v>
      </c>
      <c r="O36" s="33"/>
      <c r="P36" s="56">
        <f>SUM(P37:P52)</f>
        <v>65483.960000000006</v>
      </c>
      <c r="Q36" s="56">
        <f>SUM(Q37:Q52)</f>
        <v>68758.17</v>
      </c>
      <c r="R36" s="56">
        <f>SUM(R37:R52)</f>
        <v>72196.069999999992</v>
      </c>
      <c r="S36" s="56">
        <f>SUM(S37:S52)</f>
        <v>75805.88</v>
      </c>
    </row>
    <row r="37" spans="1:19" outlineLevel="1" x14ac:dyDescent="0.2">
      <c r="A37" s="10" t="s">
        <v>34</v>
      </c>
      <c r="C37" s="59">
        <v>200</v>
      </c>
      <c r="D37" s="59">
        <v>200</v>
      </c>
      <c r="E37" s="59">
        <v>200</v>
      </c>
      <c r="F37" s="59">
        <v>200</v>
      </c>
      <c r="G37" s="59">
        <v>200</v>
      </c>
      <c r="H37" s="59">
        <v>200</v>
      </c>
      <c r="I37" s="59">
        <v>200</v>
      </c>
      <c r="J37" s="59">
        <v>200</v>
      </c>
      <c r="K37" s="59">
        <v>250</v>
      </c>
      <c r="L37" s="59">
        <v>250</v>
      </c>
      <c r="M37" s="59">
        <v>250</v>
      </c>
      <c r="N37" s="59">
        <v>250</v>
      </c>
      <c r="O37" s="13"/>
      <c r="P37" s="59">
        <v>3150</v>
      </c>
      <c r="Q37" s="59">
        <v>3307.5</v>
      </c>
      <c r="R37" s="59">
        <v>3472.88</v>
      </c>
      <c r="S37" s="59">
        <v>3646.52</v>
      </c>
    </row>
    <row r="38" spans="1:19" outlineLevel="1" x14ac:dyDescent="0.2">
      <c r="A38" s="10" t="s">
        <v>35</v>
      </c>
      <c r="C38" s="59">
        <v>0</v>
      </c>
      <c r="D38" s="59">
        <v>0</v>
      </c>
      <c r="E38" s="59">
        <v>0</v>
      </c>
      <c r="F38" s="59">
        <v>0</v>
      </c>
      <c r="G38" s="59">
        <v>0</v>
      </c>
      <c r="H38" s="59">
        <v>0</v>
      </c>
      <c r="I38" s="59">
        <v>0</v>
      </c>
      <c r="J38" s="59">
        <v>0</v>
      </c>
      <c r="K38" s="59">
        <v>0</v>
      </c>
      <c r="L38" s="59">
        <v>0</v>
      </c>
      <c r="M38" s="59">
        <v>0</v>
      </c>
      <c r="N38" s="59">
        <v>0</v>
      </c>
      <c r="O38" s="13"/>
      <c r="P38" s="59">
        <v>0</v>
      </c>
      <c r="Q38" s="59">
        <v>0</v>
      </c>
      <c r="R38" s="59">
        <v>0</v>
      </c>
      <c r="S38" s="59">
        <v>0</v>
      </c>
    </row>
    <row r="39" spans="1:19" outlineLevel="1" x14ac:dyDescent="0.2">
      <c r="A39" s="10" t="s">
        <v>36</v>
      </c>
      <c r="C39" s="59">
        <v>404.76</v>
      </c>
      <c r="D39" s="59">
        <v>404.76</v>
      </c>
      <c r="E39" s="59">
        <v>404.76</v>
      </c>
      <c r="F39" s="59">
        <v>404.76</v>
      </c>
      <c r="G39" s="59">
        <v>404.76</v>
      </c>
      <c r="H39" s="59">
        <v>404.76</v>
      </c>
      <c r="I39" s="59">
        <v>404.76</v>
      </c>
      <c r="J39" s="59">
        <v>404.76</v>
      </c>
      <c r="K39" s="59">
        <v>505.95</v>
      </c>
      <c r="L39" s="59">
        <v>505.95</v>
      </c>
      <c r="M39" s="59">
        <v>505.95</v>
      </c>
      <c r="N39" s="59">
        <v>505.95</v>
      </c>
      <c r="O39" s="13"/>
      <c r="P39" s="59">
        <v>6374.97</v>
      </c>
      <c r="Q39" s="59">
        <v>6693.72</v>
      </c>
      <c r="R39" s="59">
        <v>7028.4</v>
      </c>
      <c r="S39" s="59">
        <v>7379.82</v>
      </c>
    </row>
    <row r="40" spans="1:19" outlineLevel="1" x14ac:dyDescent="0.2">
      <c r="A40" s="10" t="s">
        <v>37</v>
      </c>
      <c r="C40" s="59">
        <v>1142.8599999999999</v>
      </c>
      <c r="D40" s="59">
        <v>1142.8599999999999</v>
      </c>
      <c r="E40" s="59">
        <v>1142.8599999999999</v>
      </c>
      <c r="F40" s="59">
        <v>1142.8599999999999</v>
      </c>
      <c r="G40" s="59">
        <v>1142.8599999999999</v>
      </c>
      <c r="H40" s="59">
        <v>1142.8599999999999</v>
      </c>
      <c r="I40" s="59">
        <v>1142.8599999999999</v>
      </c>
      <c r="J40" s="59">
        <v>1142.8599999999999</v>
      </c>
      <c r="K40" s="59">
        <v>1428.57</v>
      </c>
      <c r="L40" s="59">
        <v>1428.57</v>
      </c>
      <c r="M40" s="59">
        <v>1428.57</v>
      </c>
      <c r="N40" s="59">
        <v>1428.57</v>
      </c>
      <c r="O40" s="13"/>
      <c r="P40" s="59">
        <v>17999.98</v>
      </c>
      <c r="Q40" s="59">
        <v>18899.98</v>
      </c>
      <c r="R40" s="59">
        <v>19844.98</v>
      </c>
      <c r="S40" s="59">
        <v>20837.23</v>
      </c>
    </row>
    <row r="41" spans="1:19" outlineLevel="1" x14ac:dyDescent="0.2">
      <c r="A41" s="10" t="s">
        <v>38</v>
      </c>
      <c r="C41" s="59">
        <v>0</v>
      </c>
      <c r="D41" s="59">
        <v>0</v>
      </c>
      <c r="E41" s="59">
        <v>0</v>
      </c>
      <c r="F41" s="59">
        <v>0</v>
      </c>
      <c r="G41" s="59">
        <v>0</v>
      </c>
      <c r="H41" s="59">
        <v>0</v>
      </c>
      <c r="I41" s="59">
        <v>0</v>
      </c>
      <c r="J41" s="59">
        <v>0</v>
      </c>
      <c r="K41" s="59">
        <v>0</v>
      </c>
      <c r="L41" s="59">
        <v>0</v>
      </c>
      <c r="M41" s="59">
        <v>0</v>
      </c>
      <c r="N41" s="59">
        <v>0</v>
      </c>
      <c r="O41" s="13"/>
      <c r="P41" s="59">
        <v>0</v>
      </c>
      <c r="Q41" s="59">
        <v>0</v>
      </c>
      <c r="R41" s="59">
        <v>0</v>
      </c>
      <c r="S41" s="59">
        <v>0</v>
      </c>
    </row>
    <row r="42" spans="1:19" outlineLevel="1" x14ac:dyDescent="0.2">
      <c r="A42" s="10" t="s">
        <v>39</v>
      </c>
      <c r="C42" s="59">
        <v>666.67</v>
      </c>
      <c r="D42" s="59">
        <v>666.67</v>
      </c>
      <c r="E42" s="59">
        <v>666.67</v>
      </c>
      <c r="F42" s="59">
        <v>666.67</v>
      </c>
      <c r="G42" s="59">
        <v>666.67</v>
      </c>
      <c r="H42" s="59">
        <v>666.67</v>
      </c>
      <c r="I42" s="59">
        <v>666.67</v>
      </c>
      <c r="J42" s="59">
        <v>666.67</v>
      </c>
      <c r="K42" s="59">
        <v>833.33</v>
      </c>
      <c r="L42" s="59">
        <v>833.33</v>
      </c>
      <c r="M42" s="59">
        <v>833.33</v>
      </c>
      <c r="N42" s="59">
        <v>833.33</v>
      </c>
      <c r="O42" s="13"/>
      <c r="P42" s="59">
        <v>10499.96</v>
      </c>
      <c r="Q42" s="59">
        <v>11024.96</v>
      </c>
      <c r="R42" s="59">
        <v>11576.2</v>
      </c>
      <c r="S42" s="59">
        <v>12155.01</v>
      </c>
    </row>
    <row r="43" spans="1:19" outlineLevel="1" x14ac:dyDescent="0.2">
      <c r="A43" s="10" t="s">
        <v>40</v>
      </c>
      <c r="C43" s="59">
        <v>480</v>
      </c>
      <c r="D43" s="59">
        <v>480</v>
      </c>
      <c r="E43" s="59">
        <v>480</v>
      </c>
      <c r="F43" s="59">
        <v>480</v>
      </c>
      <c r="G43" s="59">
        <v>480</v>
      </c>
      <c r="H43" s="59">
        <v>480</v>
      </c>
      <c r="I43" s="59">
        <v>480</v>
      </c>
      <c r="J43" s="59">
        <v>480</v>
      </c>
      <c r="K43" s="59">
        <v>480</v>
      </c>
      <c r="L43" s="59">
        <v>480</v>
      </c>
      <c r="M43" s="59">
        <v>480</v>
      </c>
      <c r="N43" s="59">
        <v>480</v>
      </c>
      <c r="O43" s="13"/>
      <c r="P43" s="59">
        <v>6048</v>
      </c>
      <c r="Q43" s="59">
        <v>6350.4</v>
      </c>
      <c r="R43" s="59">
        <v>6667.92</v>
      </c>
      <c r="S43" s="59">
        <v>7001.32</v>
      </c>
    </row>
    <row r="44" spans="1:19" outlineLevel="1" x14ac:dyDescent="0.2">
      <c r="A44" s="10" t="s">
        <v>41</v>
      </c>
      <c r="C44" s="59">
        <v>476.19</v>
      </c>
      <c r="D44" s="59">
        <v>476.19</v>
      </c>
      <c r="E44" s="59">
        <v>476.19</v>
      </c>
      <c r="F44" s="59">
        <v>476.19</v>
      </c>
      <c r="G44" s="59">
        <v>476.19</v>
      </c>
      <c r="H44" s="59">
        <v>476.19</v>
      </c>
      <c r="I44" s="59">
        <v>476.19</v>
      </c>
      <c r="J44" s="59">
        <v>476.19</v>
      </c>
      <c r="K44" s="59">
        <v>595.24</v>
      </c>
      <c r="L44" s="59">
        <v>595.24</v>
      </c>
      <c r="M44" s="59">
        <v>595.24</v>
      </c>
      <c r="N44" s="59">
        <v>595.24</v>
      </c>
      <c r="O44" s="13"/>
      <c r="P44" s="59">
        <v>7500.02</v>
      </c>
      <c r="Q44" s="59">
        <v>7875.03</v>
      </c>
      <c r="R44" s="59">
        <v>8268.7800000000007</v>
      </c>
      <c r="S44" s="59">
        <v>8682.2199999999993</v>
      </c>
    </row>
    <row r="45" spans="1:19" outlineLevel="1" x14ac:dyDescent="0.2">
      <c r="A45" s="10" t="s">
        <v>42</v>
      </c>
      <c r="C45" s="59">
        <v>0</v>
      </c>
      <c r="D45" s="59">
        <v>0</v>
      </c>
      <c r="E45" s="59">
        <v>595.24</v>
      </c>
      <c r="F45" s="59">
        <v>595.24</v>
      </c>
      <c r="G45" s="59">
        <v>595.24</v>
      </c>
      <c r="H45" s="59">
        <v>595.24</v>
      </c>
      <c r="I45" s="59">
        <v>595.24</v>
      </c>
      <c r="J45" s="59">
        <v>595.24</v>
      </c>
      <c r="K45" s="59">
        <v>744.05</v>
      </c>
      <c r="L45" s="59">
        <v>744.05</v>
      </c>
      <c r="M45" s="59">
        <v>744.05</v>
      </c>
      <c r="N45" s="59">
        <v>744.05</v>
      </c>
      <c r="O45" s="13"/>
      <c r="P45" s="59">
        <v>9375.0300000000007</v>
      </c>
      <c r="Q45" s="59">
        <v>9843.7800000000007</v>
      </c>
      <c r="R45" s="59">
        <v>10335.969999999999</v>
      </c>
      <c r="S45" s="59">
        <v>10852.77</v>
      </c>
    </row>
    <row r="46" spans="1:19" outlineLevel="1" x14ac:dyDescent="0.2">
      <c r="A46" s="10" t="s">
        <v>43</v>
      </c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3"/>
      <c r="P46" s="11"/>
      <c r="Q46" s="11"/>
      <c r="R46" s="11"/>
      <c r="S46" s="11"/>
    </row>
    <row r="47" spans="1:19" outlineLevel="1" x14ac:dyDescent="0.2">
      <c r="A47" s="10" t="s">
        <v>43</v>
      </c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3"/>
      <c r="P47" s="11"/>
      <c r="Q47" s="11"/>
      <c r="R47" s="11"/>
      <c r="S47" s="11"/>
    </row>
    <row r="48" spans="1:19" outlineLevel="1" x14ac:dyDescent="0.2">
      <c r="A48" s="10" t="s">
        <v>43</v>
      </c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3"/>
      <c r="P48" s="11"/>
      <c r="Q48" s="11"/>
      <c r="R48" s="11"/>
      <c r="S48" s="11"/>
    </row>
    <row r="49" spans="1:19" outlineLevel="1" x14ac:dyDescent="0.2">
      <c r="A49" s="10" t="s">
        <v>43</v>
      </c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3"/>
      <c r="P49" s="11"/>
      <c r="Q49" s="11"/>
      <c r="R49" s="11"/>
      <c r="S49" s="11"/>
    </row>
    <row r="50" spans="1:19" outlineLevel="1" x14ac:dyDescent="0.2">
      <c r="A50" s="10" t="s">
        <v>44</v>
      </c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3"/>
      <c r="P50" s="11"/>
      <c r="Q50" s="11"/>
      <c r="R50" s="11"/>
      <c r="S50" s="11"/>
    </row>
    <row r="51" spans="1:19" outlineLevel="1" x14ac:dyDescent="0.2">
      <c r="A51" s="10" t="s">
        <v>45</v>
      </c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3"/>
      <c r="P51" s="11"/>
      <c r="Q51" s="11"/>
      <c r="R51" s="11"/>
      <c r="S51" s="11"/>
    </row>
    <row r="52" spans="1:19" outlineLevel="1" x14ac:dyDescent="0.2">
      <c r="A52" s="10" t="s">
        <v>46</v>
      </c>
      <c r="C52" s="59">
        <v>360</v>
      </c>
      <c r="D52" s="59">
        <v>360</v>
      </c>
      <c r="E52" s="59">
        <v>360</v>
      </c>
      <c r="F52" s="59">
        <v>360</v>
      </c>
      <c r="G52" s="59">
        <v>360</v>
      </c>
      <c r="H52" s="59">
        <v>360</v>
      </c>
      <c r="I52" s="59">
        <v>360</v>
      </c>
      <c r="J52" s="59">
        <v>360</v>
      </c>
      <c r="K52" s="59">
        <v>360</v>
      </c>
      <c r="L52" s="59">
        <v>360</v>
      </c>
      <c r="M52" s="59">
        <v>360</v>
      </c>
      <c r="N52" s="59">
        <v>360</v>
      </c>
      <c r="O52" s="13"/>
      <c r="P52" s="59">
        <v>4536</v>
      </c>
      <c r="Q52" s="59">
        <v>4762.8</v>
      </c>
      <c r="R52" s="59">
        <v>5000.9399999999996</v>
      </c>
      <c r="S52" s="59">
        <v>5250.99</v>
      </c>
    </row>
    <row r="53" spans="1:19" outlineLevel="1" x14ac:dyDescent="0.2">
      <c r="A53" s="10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P53" s="3"/>
      <c r="Q53" s="3"/>
      <c r="R53" s="3"/>
      <c r="S53" s="3"/>
    </row>
    <row r="54" spans="1:19" ht="17.25" customHeight="1" x14ac:dyDescent="0.2">
      <c r="A54" s="14" t="s">
        <v>47</v>
      </c>
      <c r="C54" s="56">
        <f t="shared" ref="C54:N54" si="9">+SUM(C55:C56)</f>
        <v>0</v>
      </c>
      <c r="D54" s="56">
        <f t="shared" si="9"/>
        <v>0</v>
      </c>
      <c r="E54" s="56">
        <f t="shared" si="9"/>
        <v>0</v>
      </c>
      <c r="F54" s="56">
        <f t="shared" si="9"/>
        <v>0</v>
      </c>
      <c r="G54" s="56">
        <f t="shared" si="9"/>
        <v>0</v>
      </c>
      <c r="H54" s="56">
        <f t="shared" si="9"/>
        <v>0</v>
      </c>
      <c r="I54" s="56">
        <f t="shared" si="9"/>
        <v>0</v>
      </c>
      <c r="J54" s="56">
        <f t="shared" si="9"/>
        <v>0</v>
      </c>
      <c r="K54" s="56">
        <f t="shared" si="9"/>
        <v>0</v>
      </c>
      <c r="L54" s="56">
        <f t="shared" si="9"/>
        <v>0</v>
      </c>
      <c r="M54" s="56">
        <f t="shared" si="9"/>
        <v>0</v>
      </c>
      <c r="N54" s="56">
        <f t="shared" si="9"/>
        <v>0</v>
      </c>
      <c r="O54" s="33"/>
      <c r="P54" s="56">
        <f>+SUM(P55:P56)</f>
        <v>0</v>
      </c>
      <c r="Q54" s="56">
        <f>+SUM(Q55:Q56)</f>
        <v>0</v>
      </c>
      <c r="R54" s="56">
        <f>+SUM(R55:R56)</f>
        <v>0</v>
      </c>
      <c r="S54" s="56">
        <f>+SUM(S55:S56)</f>
        <v>0</v>
      </c>
    </row>
    <row r="55" spans="1:19" ht="17.25" customHeight="1" outlineLevel="1" x14ac:dyDescent="0.2">
      <c r="A55" s="41" t="s">
        <v>48</v>
      </c>
      <c r="C55" s="53">
        <f>+C6*Varsayımlar!$I$23</f>
        <v>0</v>
      </c>
      <c r="D55" s="53">
        <f>+D6*Varsayımlar!$I$23</f>
        <v>0</v>
      </c>
      <c r="E55" s="53">
        <f>+E6*Varsayımlar!$I$23</f>
        <v>0</v>
      </c>
      <c r="F55" s="53">
        <f>+F6*Varsayımlar!$I$23</f>
        <v>0</v>
      </c>
      <c r="G55" s="53">
        <f>+G6*Varsayımlar!$I$23</f>
        <v>0</v>
      </c>
      <c r="H55" s="53">
        <f>+H6*Varsayımlar!$I$23</f>
        <v>0</v>
      </c>
      <c r="I55" s="53">
        <f>+I6*Varsayımlar!$I$23</f>
        <v>0</v>
      </c>
      <c r="J55" s="53">
        <f>+J6*Varsayımlar!$I$23</f>
        <v>0</v>
      </c>
      <c r="K55" s="53">
        <f>+K6*Varsayımlar!$I$23</f>
        <v>0</v>
      </c>
      <c r="L55" s="53">
        <f>+L6*Varsayımlar!$I$23</f>
        <v>0</v>
      </c>
      <c r="M55" s="53">
        <f>+M6*Varsayımlar!$I$23</f>
        <v>0</v>
      </c>
      <c r="N55" s="53">
        <f>+N6*Varsayımlar!$I$23</f>
        <v>0</v>
      </c>
      <c r="O55" s="33"/>
      <c r="P55" s="53">
        <f>+P6*Varsayımlar!$I$23</f>
        <v>0</v>
      </c>
      <c r="Q55" s="53">
        <f>+Q6*Varsayımlar!$I$23</f>
        <v>0</v>
      </c>
      <c r="R55" s="53">
        <f>+R6*Varsayımlar!$I$23</f>
        <v>0</v>
      </c>
      <c r="S55" s="53">
        <f>+S6*Varsayımlar!$I$23</f>
        <v>0</v>
      </c>
    </row>
    <row r="56" spans="1:19" ht="17.25" customHeight="1" outlineLevel="1" x14ac:dyDescent="0.2">
      <c r="A56" s="41" t="s">
        <v>49</v>
      </c>
      <c r="C56" s="53">
        <f>+C11*Varsayımlar!$L$23</f>
        <v>0</v>
      </c>
      <c r="D56" s="53">
        <f>+D11*Varsayımlar!$L$23</f>
        <v>0</v>
      </c>
      <c r="E56" s="53">
        <f>+E11*Varsayımlar!$L$23</f>
        <v>0</v>
      </c>
      <c r="F56" s="53">
        <f>+F11*Varsayımlar!$L$23</f>
        <v>0</v>
      </c>
      <c r="G56" s="53">
        <f>+G11*Varsayımlar!$L$23</f>
        <v>0</v>
      </c>
      <c r="H56" s="53">
        <f>+H11*Varsayımlar!$L$23</f>
        <v>0</v>
      </c>
      <c r="I56" s="53">
        <f>+I11*Varsayımlar!$L$23</f>
        <v>0</v>
      </c>
      <c r="J56" s="53">
        <f>+J11*Varsayımlar!$L$23</f>
        <v>0</v>
      </c>
      <c r="K56" s="53">
        <f>+K11*Varsayımlar!$L$23</f>
        <v>0</v>
      </c>
      <c r="L56" s="53">
        <f>+L11*Varsayımlar!$L$23</f>
        <v>0</v>
      </c>
      <c r="M56" s="53">
        <f>+M11*Varsayımlar!$L$23</f>
        <v>0</v>
      </c>
      <c r="N56" s="53">
        <f>+N11*Varsayımlar!$L$23</f>
        <v>0</v>
      </c>
      <c r="O56" s="33"/>
      <c r="P56" s="53">
        <f>+P11*Varsayımlar!$L$23</f>
        <v>0</v>
      </c>
      <c r="Q56" s="53">
        <f>+Q11*Varsayımlar!$L$23</f>
        <v>0</v>
      </c>
      <c r="R56" s="53">
        <f>+R11*Varsayımlar!$L$23</f>
        <v>0</v>
      </c>
      <c r="S56" s="53">
        <f>+S11*Varsayımlar!$L$23</f>
        <v>0</v>
      </c>
    </row>
    <row r="57" spans="1:19" x14ac:dyDescent="0.2">
      <c r="A57" s="4"/>
      <c r="C57" s="35"/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5"/>
      <c r="P57" s="35"/>
      <c r="Q57" s="35"/>
      <c r="R57" s="35"/>
      <c r="S57" s="35"/>
    </row>
    <row r="58" spans="1:19" ht="17.25" customHeight="1" x14ac:dyDescent="0.2">
      <c r="A58" s="14" t="s">
        <v>50</v>
      </c>
      <c r="C58" s="56">
        <f t="shared" ref="C58:N58" si="10">SUM(C59:C62)</f>
        <v>50</v>
      </c>
      <c r="D58" s="56">
        <f t="shared" si="10"/>
        <v>50</v>
      </c>
      <c r="E58" s="56">
        <f t="shared" si="10"/>
        <v>50</v>
      </c>
      <c r="F58" s="56">
        <f t="shared" si="10"/>
        <v>50</v>
      </c>
      <c r="G58" s="56">
        <f t="shared" si="10"/>
        <v>50</v>
      </c>
      <c r="H58" s="56">
        <f t="shared" si="10"/>
        <v>1000</v>
      </c>
      <c r="I58" s="56">
        <f t="shared" si="10"/>
        <v>1000</v>
      </c>
      <c r="J58" s="56">
        <f t="shared" si="10"/>
        <v>1000</v>
      </c>
      <c r="K58" s="56">
        <f t="shared" si="10"/>
        <v>2000</v>
      </c>
      <c r="L58" s="56">
        <f t="shared" si="10"/>
        <v>8000</v>
      </c>
      <c r="M58" s="56">
        <f t="shared" si="10"/>
        <v>3000</v>
      </c>
      <c r="N58" s="56">
        <f t="shared" si="10"/>
        <v>3000</v>
      </c>
      <c r="O58" s="33"/>
      <c r="P58" s="56">
        <f>SUM(P59:P62)</f>
        <v>38000</v>
      </c>
      <c r="Q58" s="56">
        <f>SUM(Q59:Q62)</f>
        <v>57000</v>
      </c>
      <c r="R58" s="56">
        <f>SUM(R59:R62)</f>
        <v>78000</v>
      </c>
      <c r="S58" s="56">
        <f>SUM(S59:S62)</f>
        <v>100000</v>
      </c>
    </row>
    <row r="59" spans="1:19" outlineLevel="1" x14ac:dyDescent="0.2">
      <c r="A59" s="7" t="s">
        <v>51</v>
      </c>
      <c r="C59" s="59">
        <v>50</v>
      </c>
      <c r="D59" s="59">
        <v>50</v>
      </c>
      <c r="E59" s="59">
        <v>50</v>
      </c>
      <c r="F59" s="59">
        <v>50</v>
      </c>
      <c r="G59" s="59">
        <v>50</v>
      </c>
      <c r="H59" s="59">
        <v>1000</v>
      </c>
      <c r="I59" s="59">
        <v>1000</v>
      </c>
      <c r="J59" s="59">
        <v>1000</v>
      </c>
      <c r="K59" s="59">
        <v>2000</v>
      </c>
      <c r="L59" s="59">
        <v>3000</v>
      </c>
      <c r="M59" s="59">
        <v>3000</v>
      </c>
      <c r="N59" s="59">
        <v>3000</v>
      </c>
      <c r="P59" s="59">
        <v>30000</v>
      </c>
      <c r="Q59" s="59">
        <v>45000</v>
      </c>
      <c r="R59" s="59">
        <v>60000</v>
      </c>
      <c r="S59" s="59">
        <v>75000</v>
      </c>
    </row>
    <row r="60" spans="1:19" outlineLevel="1" x14ac:dyDescent="0.2">
      <c r="A60" s="7" t="s">
        <v>52</v>
      </c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P60" s="11"/>
      <c r="Q60" s="11"/>
      <c r="R60" s="11"/>
      <c r="S60" s="11"/>
    </row>
    <row r="61" spans="1:19" outlineLevel="1" x14ac:dyDescent="0.2">
      <c r="A61" s="7" t="s">
        <v>52</v>
      </c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P61" s="11"/>
      <c r="Q61" s="11"/>
      <c r="R61" s="11"/>
      <c r="S61" s="11"/>
    </row>
    <row r="62" spans="1:19" outlineLevel="1" x14ac:dyDescent="0.2">
      <c r="A62" s="7" t="s">
        <v>53</v>
      </c>
      <c r="C62" s="59">
        <v>0</v>
      </c>
      <c r="D62" s="59">
        <v>0</v>
      </c>
      <c r="E62" s="59">
        <v>0</v>
      </c>
      <c r="F62" s="59">
        <v>0</v>
      </c>
      <c r="G62" s="59">
        <v>0</v>
      </c>
      <c r="H62" s="59">
        <v>0</v>
      </c>
      <c r="I62" s="59">
        <v>0</v>
      </c>
      <c r="J62" s="59">
        <v>0</v>
      </c>
      <c r="K62" s="59">
        <v>0</v>
      </c>
      <c r="L62" s="59">
        <v>5000</v>
      </c>
      <c r="M62" s="59">
        <v>0</v>
      </c>
      <c r="N62" s="59">
        <v>0</v>
      </c>
      <c r="P62" s="59">
        <v>8000</v>
      </c>
      <c r="Q62" s="59">
        <v>12000</v>
      </c>
      <c r="R62" s="59">
        <v>18000</v>
      </c>
      <c r="S62" s="59">
        <v>25000</v>
      </c>
    </row>
    <row r="63" spans="1:19" x14ac:dyDescent="0.2">
      <c r="A63" s="7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P63" s="12"/>
      <c r="Q63" s="12"/>
      <c r="R63" s="12"/>
      <c r="S63" s="12"/>
    </row>
    <row r="64" spans="1:19" ht="17.25" customHeight="1" x14ac:dyDescent="0.2">
      <c r="A64" s="14" t="s">
        <v>54</v>
      </c>
      <c r="C64" s="56">
        <f t="shared" ref="C64:N64" si="11">+C14-C18-C22-C36-C54-C58</f>
        <v>-11994.75</v>
      </c>
      <c r="D64" s="56">
        <f t="shared" si="11"/>
        <v>-10734.75</v>
      </c>
      <c r="E64" s="56">
        <f t="shared" si="11"/>
        <v>-10069.990000000002</v>
      </c>
      <c r="F64" s="56">
        <f t="shared" si="11"/>
        <v>-8839.9900000000016</v>
      </c>
      <c r="G64" s="56">
        <f t="shared" si="11"/>
        <v>-7609.9900000000007</v>
      </c>
      <c r="H64" s="56">
        <f t="shared" si="11"/>
        <v>-7299.9900000000007</v>
      </c>
      <c r="I64" s="56">
        <f t="shared" si="11"/>
        <v>-7518.0800000000008</v>
      </c>
      <c r="J64" s="56">
        <f t="shared" si="11"/>
        <v>-5028.0800000000008</v>
      </c>
      <c r="K64" s="56">
        <f t="shared" si="11"/>
        <v>-6547.5999999999995</v>
      </c>
      <c r="L64" s="56">
        <f t="shared" si="11"/>
        <v>-9877.5999999999985</v>
      </c>
      <c r="M64" s="56">
        <f t="shared" si="11"/>
        <v>-2387.5999999999995</v>
      </c>
      <c r="N64" s="56">
        <f t="shared" si="11"/>
        <v>-1307.5999999999995</v>
      </c>
      <c r="O64" s="15"/>
      <c r="P64" s="56">
        <f>+P14-P18-P22-P36-P54-P58</f>
        <v>314480.56</v>
      </c>
      <c r="Q64" s="56">
        <f>+Q14-Q18-Q22-Q36-Q54-Q58</f>
        <v>737117.07</v>
      </c>
      <c r="R64" s="56">
        <f>+R14-R18-R22-R36-R54-R58</f>
        <v>11944322.93</v>
      </c>
      <c r="S64" s="56">
        <f>+S14-S18-S22-S36-S54-S58</f>
        <v>15184814.059999999</v>
      </c>
    </row>
    <row r="65" spans="1:19" ht="17.25" customHeight="1" x14ac:dyDescent="0.2">
      <c r="A65" s="14" t="s">
        <v>55</v>
      </c>
      <c r="C65" s="60" t="s">
        <v>56</v>
      </c>
      <c r="D65" s="60" t="s">
        <v>56</v>
      </c>
      <c r="E65" s="60" t="s">
        <v>56</v>
      </c>
      <c r="F65" s="60" t="s">
        <v>56</v>
      </c>
      <c r="G65" s="60" t="s">
        <v>56</v>
      </c>
      <c r="H65" s="60" t="s">
        <v>56</v>
      </c>
      <c r="I65" s="60" t="s">
        <v>56</v>
      </c>
      <c r="J65" s="60" t="s">
        <v>56</v>
      </c>
      <c r="K65" s="60" t="s">
        <v>56</v>
      </c>
      <c r="L65" s="60" t="s">
        <v>56</v>
      </c>
      <c r="M65" s="60" t="s">
        <v>56</v>
      </c>
      <c r="N65" s="56">
        <f>IF(SUM(C64:N64)&gt;0,SUM(C64:N64)*0.25,0)</f>
        <v>0</v>
      </c>
      <c r="O65" s="15"/>
      <c r="P65" s="56">
        <f>IF(P64&gt;0,P64*0.25,0)</f>
        <v>78620.14</v>
      </c>
      <c r="Q65" s="56">
        <f>IF(Q64&gt;0,Q64*0.25,0)</f>
        <v>184279.26749999999</v>
      </c>
      <c r="R65" s="56">
        <f>IF(R64&gt;0,R64*0.25,0)</f>
        <v>2986080.7324999999</v>
      </c>
      <c r="S65" s="56">
        <f>IF(S64&gt;0,S64*0.25,0)</f>
        <v>3796203.5149999997</v>
      </c>
    </row>
    <row r="66" spans="1:19" s="7" customFormat="1" ht="17.25" customHeight="1" x14ac:dyDescent="0.2">
      <c r="A66" s="14" t="s">
        <v>57</v>
      </c>
      <c r="C66" s="60" t="s">
        <v>56</v>
      </c>
      <c r="D66" s="60" t="s">
        <v>56</v>
      </c>
      <c r="E66" s="60" t="s">
        <v>56</v>
      </c>
      <c r="F66" s="60" t="s">
        <v>56</v>
      </c>
      <c r="G66" s="60" t="s">
        <v>56</v>
      </c>
      <c r="H66" s="60" t="s">
        <v>56</v>
      </c>
      <c r="I66" s="60" t="s">
        <v>56</v>
      </c>
      <c r="J66" s="60" t="s">
        <v>56</v>
      </c>
      <c r="K66" s="60" t="s">
        <v>56</v>
      </c>
      <c r="L66" s="60" t="s">
        <v>56</v>
      </c>
      <c r="M66" s="60" t="s">
        <v>56</v>
      </c>
      <c r="N66" s="56">
        <f>IF(SUM(C64:N64)&gt;0,SUM(C64:N64)*0.75,0)</f>
        <v>0</v>
      </c>
      <c r="P66" s="56">
        <f>IF(P64&gt;0,P64*0.75,P64)</f>
        <v>235860.41999999998</v>
      </c>
      <c r="Q66" s="56">
        <f>IF(Q64&gt;0,Q64*0.75,Q64)</f>
        <v>552837.80249999999</v>
      </c>
      <c r="R66" s="56">
        <f>IF(R64&gt;0,R64*0.75,R64)</f>
        <v>8958242.1974999998</v>
      </c>
      <c r="S66" s="56">
        <f>IF(S64&gt;0,S64*0.75,S64)</f>
        <v>11388610.544999998</v>
      </c>
    </row>
    <row r="67" spans="1:19" s="7" customFormat="1" x14ac:dyDescent="0.2">
      <c r="N67" s="5"/>
    </row>
    <row r="68" spans="1:19" x14ac:dyDescent="0.2">
      <c r="A68" s="7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P68" s="1"/>
      <c r="Q68" s="1"/>
      <c r="R68" s="1"/>
      <c r="S68" s="1"/>
    </row>
    <row r="69" spans="1:19" ht="17.25" customHeight="1" x14ac:dyDescent="0.2">
      <c r="A69" s="14" t="s">
        <v>58</v>
      </c>
      <c r="C69" s="61">
        <f t="shared" ref="C69:N69" si="12">SUM(C70:C77)</f>
        <v>4000</v>
      </c>
      <c r="D69" s="61">
        <f t="shared" si="12"/>
        <v>270000</v>
      </c>
      <c r="E69" s="61">
        <f t="shared" si="12"/>
        <v>0</v>
      </c>
      <c r="F69" s="61">
        <f t="shared" si="12"/>
        <v>0</v>
      </c>
      <c r="G69" s="61">
        <f t="shared" si="12"/>
        <v>0</v>
      </c>
      <c r="H69" s="61">
        <f t="shared" si="12"/>
        <v>150000</v>
      </c>
      <c r="I69" s="61">
        <f t="shared" si="12"/>
        <v>0</v>
      </c>
      <c r="J69" s="61">
        <f t="shared" si="12"/>
        <v>0</v>
      </c>
      <c r="K69" s="61">
        <f t="shared" si="12"/>
        <v>0</v>
      </c>
      <c r="L69" s="61">
        <f t="shared" si="12"/>
        <v>0</v>
      </c>
      <c r="M69" s="61">
        <f t="shared" si="12"/>
        <v>0</v>
      </c>
      <c r="N69" s="61">
        <f t="shared" si="12"/>
        <v>0</v>
      </c>
      <c r="P69" s="61">
        <f>SUM(P70:P77)</f>
        <v>174500</v>
      </c>
      <c r="Q69" s="61">
        <f>SUM(Q70:Q77)</f>
        <v>186000</v>
      </c>
      <c r="R69" s="61">
        <f>SUM(R70:R77)</f>
        <v>2177500</v>
      </c>
      <c r="S69" s="61">
        <f>SUM(S70:S77)</f>
        <v>3209000</v>
      </c>
    </row>
    <row r="70" spans="1:19" outlineLevel="1" x14ac:dyDescent="0.2">
      <c r="A70" s="7" t="s">
        <v>59</v>
      </c>
      <c r="C70" s="59">
        <v>0</v>
      </c>
      <c r="D70" s="59">
        <v>30000</v>
      </c>
      <c r="E70" s="59">
        <v>0</v>
      </c>
      <c r="F70" s="59">
        <v>0</v>
      </c>
      <c r="G70" s="59">
        <v>0</v>
      </c>
      <c r="H70" s="59">
        <v>0</v>
      </c>
      <c r="I70" s="59">
        <v>0</v>
      </c>
      <c r="J70" s="59">
        <v>0</v>
      </c>
      <c r="K70" s="59">
        <v>0</v>
      </c>
      <c r="L70" s="59">
        <v>0</v>
      </c>
      <c r="M70" s="59">
        <v>0</v>
      </c>
      <c r="N70" s="59">
        <v>0</v>
      </c>
      <c r="P70" s="59">
        <v>100000</v>
      </c>
      <c r="Q70" s="59">
        <v>60000</v>
      </c>
      <c r="R70" s="59">
        <v>2000000</v>
      </c>
      <c r="S70" s="59">
        <v>3000000</v>
      </c>
    </row>
    <row r="71" spans="1:19" outlineLevel="1" x14ac:dyDescent="0.2">
      <c r="A71" s="7" t="s">
        <v>60</v>
      </c>
      <c r="C71" s="59">
        <v>3000</v>
      </c>
      <c r="D71" s="59">
        <v>0</v>
      </c>
      <c r="E71" s="59">
        <v>0</v>
      </c>
      <c r="F71" s="59">
        <v>0</v>
      </c>
      <c r="G71" s="59">
        <v>0</v>
      </c>
      <c r="H71" s="59">
        <v>0</v>
      </c>
      <c r="I71" s="59">
        <v>0</v>
      </c>
      <c r="J71" s="59">
        <v>0</v>
      </c>
      <c r="K71" s="59">
        <v>0</v>
      </c>
      <c r="L71" s="59">
        <v>0</v>
      </c>
      <c r="M71" s="59">
        <v>0</v>
      </c>
      <c r="N71" s="59">
        <v>0</v>
      </c>
      <c r="P71" s="59">
        <v>3000</v>
      </c>
      <c r="Q71" s="59">
        <v>4000</v>
      </c>
      <c r="R71" s="59">
        <v>5000</v>
      </c>
      <c r="S71" s="59">
        <v>6000</v>
      </c>
    </row>
    <row r="72" spans="1:19" outlineLevel="1" x14ac:dyDescent="0.2">
      <c r="A72" s="7" t="s">
        <v>61</v>
      </c>
      <c r="C72" s="59">
        <v>0</v>
      </c>
      <c r="D72" s="59">
        <v>240000</v>
      </c>
      <c r="E72" s="59">
        <v>0</v>
      </c>
      <c r="F72" s="59">
        <v>0</v>
      </c>
      <c r="G72" s="59">
        <v>0</v>
      </c>
      <c r="H72" s="59">
        <v>0</v>
      </c>
      <c r="I72" s="59">
        <v>0</v>
      </c>
      <c r="J72" s="59">
        <v>0</v>
      </c>
      <c r="K72" s="59">
        <v>0</v>
      </c>
      <c r="L72" s="59">
        <v>0</v>
      </c>
      <c r="M72" s="59">
        <v>0</v>
      </c>
      <c r="N72" s="59">
        <v>0</v>
      </c>
      <c r="P72" s="59">
        <v>60000</v>
      </c>
      <c r="Q72" s="59">
        <v>100000</v>
      </c>
      <c r="R72" s="59">
        <v>140000</v>
      </c>
      <c r="S72" s="59">
        <v>160000</v>
      </c>
    </row>
    <row r="73" spans="1:19" outlineLevel="1" x14ac:dyDescent="0.2">
      <c r="A73" s="7" t="s">
        <v>62</v>
      </c>
      <c r="C73" s="59">
        <v>0</v>
      </c>
      <c r="D73" s="59">
        <v>0</v>
      </c>
      <c r="E73" s="59">
        <v>0</v>
      </c>
      <c r="F73" s="59">
        <v>0</v>
      </c>
      <c r="G73" s="59">
        <v>0</v>
      </c>
      <c r="H73" s="59">
        <v>150000</v>
      </c>
      <c r="I73" s="59">
        <v>0</v>
      </c>
      <c r="J73" s="59">
        <v>0</v>
      </c>
      <c r="K73" s="59">
        <v>0</v>
      </c>
      <c r="L73" s="59">
        <v>0</v>
      </c>
      <c r="M73" s="59">
        <v>0</v>
      </c>
      <c r="N73" s="59">
        <v>0</v>
      </c>
      <c r="P73" s="59">
        <v>10000</v>
      </c>
      <c r="Q73" s="59">
        <v>20000</v>
      </c>
      <c r="R73" s="59">
        <v>30000</v>
      </c>
      <c r="S73" s="59">
        <v>40000</v>
      </c>
    </row>
    <row r="74" spans="1:19" outlineLevel="1" x14ac:dyDescent="0.2">
      <c r="A74" s="7" t="s">
        <v>52</v>
      </c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P74" s="11"/>
      <c r="Q74" s="11"/>
      <c r="R74" s="11"/>
      <c r="S74" s="11"/>
    </row>
    <row r="75" spans="1:19" outlineLevel="1" x14ac:dyDescent="0.2">
      <c r="A75" s="7" t="s">
        <v>52</v>
      </c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P75" s="11"/>
      <c r="Q75" s="11"/>
      <c r="R75" s="11"/>
      <c r="S75" s="11"/>
    </row>
    <row r="76" spans="1:19" outlineLevel="1" x14ac:dyDescent="0.2">
      <c r="A76" s="7" t="s">
        <v>52</v>
      </c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P76" s="11"/>
      <c r="Q76" s="11"/>
      <c r="R76" s="11"/>
      <c r="S76" s="11"/>
    </row>
    <row r="77" spans="1:19" outlineLevel="1" x14ac:dyDescent="0.2">
      <c r="A77" s="7" t="s">
        <v>63</v>
      </c>
      <c r="C77" s="59">
        <v>1000</v>
      </c>
      <c r="D77" s="59">
        <v>0</v>
      </c>
      <c r="E77" s="59">
        <v>0</v>
      </c>
      <c r="F77" s="59">
        <v>0</v>
      </c>
      <c r="G77" s="59">
        <v>0</v>
      </c>
      <c r="H77" s="59">
        <v>0</v>
      </c>
      <c r="I77" s="59">
        <v>0</v>
      </c>
      <c r="J77" s="59">
        <v>0</v>
      </c>
      <c r="K77" s="59">
        <v>0</v>
      </c>
      <c r="L77" s="59">
        <v>0</v>
      </c>
      <c r="M77" s="59">
        <v>0</v>
      </c>
      <c r="N77" s="59">
        <v>0</v>
      </c>
      <c r="P77" s="59">
        <v>1500</v>
      </c>
      <c r="Q77" s="59">
        <v>2000</v>
      </c>
      <c r="R77" s="59">
        <v>2500</v>
      </c>
      <c r="S77" s="59">
        <v>3000</v>
      </c>
    </row>
    <row r="78" spans="1:19" x14ac:dyDescent="0.2">
      <c r="A78" s="7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P78" s="12"/>
      <c r="Q78" s="12"/>
      <c r="R78" s="12"/>
      <c r="S78" s="12"/>
    </row>
    <row r="79" spans="1:19" ht="17.25" customHeight="1" x14ac:dyDescent="0.2">
      <c r="A79" s="14" t="s">
        <v>64</v>
      </c>
      <c r="C79" s="56">
        <f t="shared" ref="C79:M79" si="13">+C14-C18-C22-C36-C55-C58-C69</f>
        <v>-15994.75</v>
      </c>
      <c r="D79" s="56">
        <f t="shared" si="13"/>
        <v>-280734.75</v>
      </c>
      <c r="E79" s="56">
        <f t="shared" si="13"/>
        <v>-10069.990000000002</v>
      </c>
      <c r="F79" s="56">
        <f t="shared" si="13"/>
        <v>-8839.9900000000016</v>
      </c>
      <c r="G79" s="56">
        <f t="shared" si="13"/>
        <v>-7609.9900000000007</v>
      </c>
      <c r="H79" s="56">
        <f t="shared" si="13"/>
        <v>-157299.99</v>
      </c>
      <c r="I79" s="56">
        <f t="shared" si="13"/>
        <v>-7518.0800000000008</v>
      </c>
      <c r="J79" s="56">
        <f t="shared" si="13"/>
        <v>-5028.0800000000008</v>
      </c>
      <c r="K79" s="56">
        <f t="shared" si="13"/>
        <v>-6547.5999999999995</v>
      </c>
      <c r="L79" s="56">
        <f t="shared" si="13"/>
        <v>-9877.5999999999985</v>
      </c>
      <c r="M79" s="56">
        <f t="shared" si="13"/>
        <v>-2387.5999999999995</v>
      </c>
      <c r="N79" s="56">
        <f>+N14-N18-N22-N36-N55-N58-N69-N65</f>
        <v>-1307.5999999999995</v>
      </c>
      <c r="O79" s="33"/>
      <c r="P79" s="56">
        <f>+P14-P18-P22-P36-P55-P58-P69-P65</f>
        <v>61360.42</v>
      </c>
      <c r="Q79" s="56">
        <f>+Q14-Q18-Q22-Q36-Q55-Q58-Q69-Q65</f>
        <v>366837.80249999999</v>
      </c>
      <c r="R79" s="56">
        <f>+R14-R18-R22-R36-R55-R58-R69-R65</f>
        <v>6780742.1974999998</v>
      </c>
      <c r="S79" s="56">
        <f>+S14-S18-S22-S36-S55-S58-S69-S65</f>
        <v>8179610.544999999</v>
      </c>
    </row>
    <row r="80" spans="1:19" ht="17.25" customHeight="1" x14ac:dyDescent="0.2">
      <c r="A80" s="14" t="s">
        <v>65</v>
      </c>
      <c r="C80" s="56">
        <f>+Varsayımlar!I6</f>
        <v>125000</v>
      </c>
      <c r="D80" s="56">
        <f t="shared" ref="D80:N80" si="14">C81</f>
        <v>109005.25</v>
      </c>
      <c r="E80" s="56">
        <f t="shared" si="14"/>
        <v>-171729.5</v>
      </c>
      <c r="F80" s="56">
        <f t="shared" si="14"/>
        <v>-181799.49</v>
      </c>
      <c r="G80" s="56">
        <f t="shared" si="14"/>
        <v>-190639.47999999998</v>
      </c>
      <c r="H80" s="56">
        <f t="shared" si="14"/>
        <v>-198249.46999999997</v>
      </c>
      <c r="I80" s="56">
        <f t="shared" si="14"/>
        <v>-355549.45999999996</v>
      </c>
      <c r="J80" s="56">
        <f t="shared" si="14"/>
        <v>-363067.54</v>
      </c>
      <c r="K80" s="56">
        <f t="shared" si="14"/>
        <v>-368095.62</v>
      </c>
      <c r="L80" s="56">
        <f t="shared" si="14"/>
        <v>-374643.22</v>
      </c>
      <c r="M80" s="56">
        <f t="shared" si="14"/>
        <v>-384520.81999999995</v>
      </c>
      <c r="N80" s="56">
        <f t="shared" si="14"/>
        <v>-386908.41999999993</v>
      </c>
      <c r="O80" s="33"/>
      <c r="P80" s="56">
        <f>N81</f>
        <v>-388216.0199999999</v>
      </c>
      <c r="Q80" s="56">
        <f>P81</f>
        <v>-326855.59999999992</v>
      </c>
      <c r="R80" s="56">
        <f>Q81</f>
        <v>39982.202500000072</v>
      </c>
      <c r="S80" s="56">
        <f>R81</f>
        <v>6820724.3999999994</v>
      </c>
    </row>
    <row r="81" spans="1:19" ht="17.25" customHeight="1" x14ac:dyDescent="0.2">
      <c r="A81" s="14" t="s">
        <v>66</v>
      </c>
      <c r="C81" s="56">
        <f t="shared" ref="C81:N81" si="15">C80+C79</f>
        <v>109005.25</v>
      </c>
      <c r="D81" s="56">
        <f t="shared" si="15"/>
        <v>-171729.5</v>
      </c>
      <c r="E81" s="56">
        <f t="shared" si="15"/>
        <v>-181799.49</v>
      </c>
      <c r="F81" s="56">
        <f t="shared" si="15"/>
        <v>-190639.47999999998</v>
      </c>
      <c r="G81" s="56">
        <f t="shared" si="15"/>
        <v>-198249.46999999997</v>
      </c>
      <c r="H81" s="56">
        <f t="shared" si="15"/>
        <v>-355549.45999999996</v>
      </c>
      <c r="I81" s="56">
        <f t="shared" si="15"/>
        <v>-363067.54</v>
      </c>
      <c r="J81" s="56">
        <f t="shared" si="15"/>
        <v>-368095.62</v>
      </c>
      <c r="K81" s="56">
        <f t="shared" si="15"/>
        <v>-374643.22</v>
      </c>
      <c r="L81" s="56">
        <f t="shared" si="15"/>
        <v>-384520.81999999995</v>
      </c>
      <c r="M81" s="56">
        <f t="shared" si="15"/>
        <v>-386908.41999999993</v>
      </c>
      <c r="N81" s="56">
        <f t="shared" si="15"/>
        <v>-388216.0199999999</v>
      </c>
      <c r="O81" s="33"/>
      <c r="P81" s="56">
        <f>P80+P79</f>
        <v>-326855.59999999992</v>
      </c>
      <c r="Q81" s="56">
        <f>Q80+Q79</f>
        <v>39982.202500000072</v>
      </c>
      <c r="R81" s="56">
        <f>R80+R79</f>
        <v>6820724.3999999994</v>
      </c>
      <c r="S81" s="56">
        <f>S80+S79</f>
        <v>15000334.944999998</v>
      </c>
    </row>
    <row r="83" spans="1:19" ht="17.25" customHeight="1" x14ac:dyDescent="0.2">
      <c r="A83" s="14" t="s">
        <v>67</v>
      </c>
      <c r="C83" s="56">
        <f>MIN($C$81:$N$81)</f>
        <v>-388216.0199999999</v>
      </c>
    </row>
  </sheetData>
  <sheetProtection algorithmName="SHA-512" hashValue="Rrp5h0AAoU06uFdW2L6z5UAqqPWB4Q9Q0qUhDOBCJ5pdWXypPzKBuw77lkJzIIBaWj8MGm06g14ZHdp46WEViA==" saltValue="ci8Y9QCg0DwMdD3BBgydKQ==" spinCount="100000" sheet="1" objects="1" scenarios="1"/>
  <pageMargins left="0.75" right="0.75" top="1" bottom="1" header="0.5" footer="0.5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C2:M23"/>
  <sheetViews>
    <sheetView showGridLines="0" workbookViewId="0">
      <selection activeCell="R31" sqref="R31"/>
    </sheetView>
  </sheetViews>
  <sheetFormatPr baseColWidth="10" defaultColWidth="8.83203125" defaultRowHeight="15" x14ac:dyDescent="0.2"/>
  <cols>
    <col min="2" max="2" width="0" hidden="1"/>
    <col min="3" max="3" width="39.1640625" hidden="1" customWidth="1"/>
    <col min="4" max="4" width="5.1640625" hidden="1" customWidth="1"/>
    <col min="5" max="5" width="10" hidden="1" customWidth="1"/>
    <col min="6" max="7" width="9.1640625" hidden="1" customWidth="1"/>
    <col min="8" max="8" width="22.83203125" hidden="1" customWidth="1"/>
    <col min="9" max="9" width="9.1640625" hidden="1" customWidth="1"/>
    <col min="10" max="10" width="10.5" hidden="1" customWidth="1"/>
    <col min="11" max="11" width="20" hidden="1" customWidth="1"/>
    <col min="12" max="12" width="15.5" hidden="1" customWidth="1"/>
    <col min="13" max="13" width="22" hidden="1" customWidth="1"/>
  </cols>
  <sheetData>
    <row r="2" spans="3:13" hidden="1" x14ac:dyDescent="0.2">
      <c r="J2" t="s">
        <v>92</v>
      </c>
      <c r="K2" t="s">
        <v>93</v>
      </c>
      <c r="L2" t="s">
        <v>94</v>
      </c>
      <c r="M2" t="s">
        <v>95</v>
      </c>
    </row>
    <row r="3" spans="3:13" hidden="1" x14ac:dyDescent="0.2">
      <c r="J3" s="62">
        <f>+E6*-1</f>
        <v>-500000</v>
      </c>
      <c r="M3" s="62">
        <f>+J3</f>
        <v>-500000</v>
      </c>
    </row>
    <row r="4" spans="3:13" hidden="1" x14ac:dyDescent="0.2">
      <c r="H4" t="s">
        <v>96</v>
      </c>
      <c r="I4" t="s">
        <v>97</v>
      </c>
      <c r="J4" s="63">
        <f>+'Finansal Model'!N81</f>
        <v>-388216.0199999999</v>
      </c>
      <c r="K4" s="63">
        <f>-E6+J4</f>
        <v>-888216.0199999999</v>
      </c>
      <c r="L4" s="35">
        <f>POWER(1+$E$5,1)</f>
        <v>1.2</v>
      </c>
      <c r="M4" s="62">
        <f>+J4/L4</f>
        <v>-323513.34999999992</v>
      </c>
    </row>
    <row r="5" spans="3:13" hidden="1" x14ac:dyDescent="0.2">
      <c r="C5" s="42" t="s">
        <v>98</v>
      </c>
      <c r="E5" s="64">
        <v>0.2</v>
      </c>
      <c r="I5" t="s">
        <v>99</v>
      </c>
      <c r="J5" s="63">
        <f>+'Finansal Model'!P81</f>
        <v>-326855.59999999992</v>
      </c>
      <c r="K5" s="63">
        <f>+J5+K4</f>
        <v>-1215071.6199999999</v>
      </c>
      <c r="L5" s="35">
        <f>+L4*POWER(1+$E$5,1)</f>
        <v>1.44</v>
      </c>
      <c r="M5" s="62">
        <f>+J5/L5</f>
        <v>-226983.0555555555</v>
      </c>
    </row>
    <row r="6" spans="3:13" hidden="1" x14ac:dyDescent="0.2">
      <c r="C6" s="42" t="s">
        <v>100</v>
      </c>
      <c r="D6" s="43"/>
      <c r="E6" s="65">
        <v>500000</v>
      </c>
      <c r="I6" t="s">
        <v>101</v>
      </c>
      <c r="J6" s="63">
        <f>+'Finansal Model'!Q81</f>
        <v>39982.202500000072</v>
      </c>
      <c r="K6" s="63">
        <f>+J6+K5</f>
        <v>-1175089.4174999997</v>
      </c>
      <c r="L6" s="35">
        <f>+L5*POWER(1+$E$5,1)</f>
        <v>1.728</v>
      </c>
      <c r="M6" s="62">
        <f>+J6/L6</f>
        <v>23137.848668981522</v>
      </c>
    </row>
    <row r="7" spans="3:13" hidden="1" x14ac:dyDescent="0.2">
      <c r="C7" s="42" t="s">
        <v>102</v>
      </c>
      <c r="D7" s="43"/>
      <c r="E7" s="64">
        <v>6.25E-2</v>
      </c>
      <c r="I7" t="s">
        <v>103</v>
      </c>
      <c r="J7" s="63">
        <f>+'Finansal Model'!R81</f>
        <v>6820724.3999999994</v>
      </c>
      <c r="K7" s="63">
        <f>+J7+K6</f>
        <v>5645634.9824999999</v>
      </c>
      <c r="L7" s="35">
        <f>+L6*POWER(1+$E$5,1)</f>
        <v>2.0735999999999999</v>
      </c>
      <c r="M7" s="62">
        <f>+J7/L7</f>
        <v>3289315.3935185187</v>
      </c>
    </row>
    <row r="8" spans="3:13" hidden="1" x14ac:dyDescent="0.2">
      <c r="C8" s="42" t="s">
        <v>104</v>
      </c>
      <c r="D8" s="43"/>
      <c r="E8" s="65">
        <f>+E6/E7</f>
        <v>8000000</v>
      </c>
      <c r="I8" t="s">
        <v>105</v>
      </c>
      <c r="J8" s="63">
        <f>+'Finansal Model'!S81</f>
        <v>15000334.944999998</v>
      </c>
      <c r="K8" s="63">
        <f>+J8+K7</f>
        <v>20645969.927499998</v>
      </c>
      <c r="L8" s="35">
        <f>+L7*POWER(1+$E$5,1)</f>
        <v>2.4883199999999999</v>
      </c>
      <c r="M8" s="62">
        <f>+J8/L8</f>
        <v>6028298.1871302724</v>
      </c>
    </row>
    <row r="9" spans="3:13" hidden="1" x14ac:dyDescent="0.2"/>
    <row r="10" spans="3:13" ht="15.75" hidden="1" customHeight="1" thickBot="1" x14ac:dyDescent="0.25">
      <c r="C10" s="42" t="s">
        <v>106</v>
      </c>
      <c r="E10" s="66">
        <v>7</v>
      </c>
      <c r="J10" s="67">
        <f>SUM(J4:J8)</f>
        <v>21145969.927499998</v>
      </c>
      <c r="K10" s="67">
        <f>+K8</f>
        <v>20645969.927499998</v>
      </c>
      <c r="L10" s="46" t="s">
        <v>56</v>
      </c>
      <c r="M10" s="67">
        <f>SUM(M4:M8)</f>
        <v>8790255.0237622168</v>
      </c>
    </row>
    <row r="11" spans="3:13" ht="15.75" hidden="1" customHeight="1" thickTop="1" x14ac:dyDescent="0.2">
      <c r="C11" s="42" t="s">
        <v>107</v>
      </c>
      <c r="D11" s="43"/>
      <c r="E11" s="66">
        <v>2</v>
      </c>
    </row>
    <row r="12" spans="3:13" hidden="1" x14ac:dyDescent="0.2">
      <c r="C12" s="42" t="s">
        <v>108</v>
      </c>
      <c r="D12" s="43"/>
      <c r="E12" s="64">
        <v>0.16700000000000001</v>
      </c>
      <c r="H12" t="s">
        <v>109</v>
      </c>
      <c r="I12" s="68">
        <f>IRR(M3:M8)</f>
        <v>0.72880098967095797</v>
      </c>
    </row>
    <row r="13" spans="3:13" hidden="1" x14ac:dyDescent="0.2">
      <c r="C13" s="42" t="s">
        <v>110</v>
      </c>
      <c r="D13" s="43"/>
      <c r="E13" s="64">
        <f>+E7*(1-E12)^E11</f>
        <v>4.3368062499999999E-2</v>
      </c>
    </row>
    <row r="14" spans="3:13" hidden="1" x14ac:dyDescent="0.2">
      <c r="H14" t="s">
        <v>111</v>
      </c>
    </row>
    <row r="15" spans="3:13" hidden="1" x14ac:dyDescent="0.2">
      <c r="C15" s="42" t="s">
        <v>112</v>
      </c>
      <c r="E15" s="65">
        <f>+E8*7.5*E13</f>
        <v>2602083.75</v>
      </c>
    </row>
    <row r="16" spans="3:13" hidden="1" x14ac:dyDescent="0.2">
      <c r="C16" s="42" t="s">
        <v>113</v>
      </c>
      <c r="E16" s="65">
        <f>+E15/E13</f>
        <v>60000000</v>
      </c>
      <c r="H16" t="s">
        <v>114</v>
      </c>
    </row>
    <row r="17" spans="3:9" hidden="1" x14ac:dyDescent="0.2">
      <c r="C17" s="42" t="s">
        <v>115</v>
      </c>
      <c r="E17" s="69">
        <f>+E16/E8</f>
        <v>7.5</v>
      </c>
    </row>
    <row r="18" spans="3:9" hidden="1" x14ac:dyDescent="0.2">
      <c r="H18" t="s">
        <v>116</v>
      </c>
      <c r="I18" s="68">
        <f>MAX('Finansal Model'!C16:N16)</f>
        <v>0.5</v>
      </c>
    </row>
    <row r="19" spans="3:9" hidden="1" x14ac:dyDescent="0.2">
      <c r="C19" s="42" t="s">
        <v>117</v>
      </c>
      <c r="E19" s="70">
        <v>2.5000000000000001E-2</v>
      </c>
    </row>
    <row r="20" spans="3:9" hidden="1" x14ac:dyDescent="0.2">
      <c r="C20" s="42" t="s">
        <v>118</v>
      </c>
      <c r="E20" s="63">
        <f>+$M$8*(1+E19)/(E5-E19)</f>
        <v>35308603.667477302</v>
      </c>
    </row>
    <row r="21" spans="3:9" hidden="1" x14ac:dyDescent="0.2">
      <c r="C21" s="42" t="s">
        <v>119</v>
      </c>
      <c r="E21" s="63">
        <f>+E20/L8</f>
        <v>14189735.913177285</v>
      </c>
    </row>
    <row r="22" spans="3:9" hidden="1" x14ac:dyDescent="0.2">
      <c r="C22" s="42"/>
      <c r="E22" s="45"/>
    </row>
    <row r="23" spans="3:9" x14ac:dyDescent="0.2">
      <c r="C23" s="42"/>
      <c r="E23" s="45"/>
    </row>
  </sheetData>
  <sheetProtection algorithmName="SHA-512" hashValue="iUx/TcoQelqgwrgEVAExyaLeOgGB7ouCyrMzrQuZanX8VXRlhtzd1Yqis8U8pckOwm0RiBfEoS1o8aqy4zOXXQ==" saltValue="3B4M3Hu/7uA2JuVfAxJtmA==" spinCount="100000" sheet="1" objects="1" scenarios="1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Çalışma Sayfaları</vt:lpstr>
      </vt:variant>
      <vt:variant>
        <vt:i4>4</vt:i4>
      </vt:variant>
      <vt:variant>
        <vt:lpstr>Adlandırılmış Aralıklar</vt:lpstr>
      </vt:variant>
      <vt:variant>
        <vt:i4>2</vt:i4>
      </vt:variant>
    </vt:vector>
  </HeadingPairs>
  <TitlesOfParts>
    <vt:vector size="6" baseType="lpstr">
      <vt:lpstr>Bilgi</vt:lpstr>
      <vt:lpstr>Varsayımlar</vt:lpstr>
      <vt:lpstr>Finansal Model</vt:lpstr>
      <vt:lpstr>DCF</vt:lpstr>
      <vt:lpstr>Bilgi!Yazdırma_Alanı</vt:lpstr>
      <vt:lpstr>Varsayımlar!Yazdırma_Alanı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x40772@365mmt.com</cp:lastModifiedBy>
  <dcterms:created xsi:type="dcterms:W3CDTF">2026-02-27T12:07:08Z</dcterms:created>
  <dcterms:modified xsi:type="dcterms:W3CDTF">2026-08-12T21:10:46Z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iketAuthor">
    <vt:lpwstr>V4bjou+8/+//sqZmdSNdRXoQEYp4Xc1Q3ZiM3GSwQRg=</vt:lpwstr>
  </property>
  <property fmtid="{D5CDD505-2E9C-101B-9397-08002B2CF9AE}" pid="3" name="VeriketClassification">
    <vt:lpwstr>A5BC3CFD-4D51-461E-B5F0-D84C6FA67A36</vt:lpwstr>
  </property>
  <property fmtid="{D5CDD505-2E9C-101B-9397-08002B2CF9AE}" pid="4" name="SensitivityPropertyName">
    <vt:lpwstr>3265DAC8-E08B-44A1-BADC-2164496259F8</vt:lpwstr>
  </property>
  <property fmtid="{D5CDD505-2E9C-101B-9397-08002B2CF9AE}" pid="5" name="SensitivityPersonalDatasPropertyName">
    <vt:lpwstr/>
  </property>
  <property fmtid="{D5CDD505-2E9C-101B-9397-08002B2CF9AE}" pid="6" name="SensitivityApprovedContentPropertyName">
    <vt:lpwstr/>
  </property>
  <property fmtid="{D5CDD505-2E9C-101B-9397-08002B2CF9AE}" pid="7" name="SensitivityCanExportContentPropertyName">
    <vt:lpwstr/>
  </property>
  <property fmtid="{D5CDD505-2E9C-101B-9397-08002B2CF9AE}" pid="8" name="SensitivityDataRetentionPeriodPropertyName">
    <vt:lpwstr/>
  </property>
  <property fmtid="{D5CDD505-2E9C-101B-9397-08002B2CF9AE}" pid="9" name="Excel_AddedWatermark_PropertyName">
    <vt:lpwstr/>
  </property>
  <property fmtid="{D5CDD505-2E9C-101B-9397-08002B2CF9AE}" pid="10" name="DetectedPolicyPropertyName">
    <vt:lpwstr/>
  </property>
  <property fmtid="{D5CDD505-2E9C-101B-9397-08002B2CF9AE}" pid="11" name="DetectedKeywordsPropertyName">
    <vt:lpwstr/>
  </property>
</Properties>
</file>